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CB\Afdelingen\Cb\StafPSA\Afdeling\Werkbestanden\loonkostenberekening\"/>
    </mc:Choice>
  </mc:AlternateContent>
  <workbookProtection workbookPassword="E784" lockStructure="1"/>
  <bookViews>
    <workbookView xWindow="0" yWindow="0" windowWidth="16200" windowHeight="7050"/>
  </bookViews>
  <sheets>
    <sheet name="Loonkosten PO" sheetId="5" r:id="rId1"/>
    <sheet name="percentages ed" sheetId="4" state="hidden" r:id="rId2"/>
    <sheet name="salaristabel PO" sheetId="2" state="hidden" r:id="rId3"/>
    <sheet name="Wijzigingen" sheetId="3" r:id="rId4"/>
  </sheets>
  <definedNames>
    <definedName name="A_10">'percentages ed'!$K$3:$K$15</definedName>
    <definedName name="A_11">'percentages ed'!$L$3:$L$18</definedName>
    <definedName name="A_12">'percentages ed'!$M$3:$M$14</definedName>
    <definedName name="A_13">'percentages ed'!$N$3:$N$15</definedName>
    <definedName name="D_11">'percentages ed'!$O$3:$O$18</definedName>
    <definedName name="D_12">'percentages ed'!$P$3:$P$14</definedName>
    <definedName name="D_13">'percentages ed'!$Q$3:$Q$15</definedName>
    <definedName name="D_14">'percentages ed'!$R$3:$R$13</definedName>
    <definedName name="D_15">'percentages ed'!$S$3:$S$14</definedName>
    <definedName name="IDnr1">'percentages ed'!$T$3:$T$11</definedName>
    <definedName name="IDnr2">'percentages ed'!$U$3:$U$10</definedName>
    <definedName name="IDnr3">'percentages ed'!$V$3:$V$11</definedName>
    <definedName name="LB">'percentages ed'!$W$3:$W$14</definedName>
    <definedName name="LC">'percentages ed'!$X$3:$X$14</definedName>
    <definedName name="LD">'percentages ed'!$Y$3:$Y$14</definedName>
    <definedName name="LE">'percentages ed'!$Z$3:$Z$14</definedName>
    <definedName name="LIOa">'percentages ed'!$AA$3</definedName>
    <definedName name="LIOb">'percentages ed'!$AB$3</definedName>
    <definedName name="Participatiebaan">'percentages ed'!$AC$3:$AC$6</definedName>
    <definedName name="schaal">'percentages ed'!$J$3:$J$37</definedName>
    <definedName name="Schaal_1">'percentages ed'!$AD$3:$AD$9</definedName>
    <definedName name="Schaal_10">'percentages ed'!$AM$3:$AM$15</definedName>
    <definedName name="Schaal_11">'percentages ed'!$AN$3:$AN$18</definedName>
    <definedName name="Schaal_12">'percentages ed'!$AO$3:$AO$14</definedName>
    <definedName name="Schaal_13">'percentages ed'!$AP$3:$AP$15</definedName>
    <definedName name="Schaal_14">'percentages ed'!$AQ$3:$AQ$13</definedName>
    <definedName name="Schaal_15">'percentages ed'!$AR$3:$AR$14</definedName>
    <definedName name="Schaal_16">'percentages ed'!$AS$3:$AS$14</definedName>
    <definedName name="Schaal_2">'percentages ed'!$AE$3:$AE$10</definedName>
    <definedName name="Schaal_3">'percentages ed'!$AF$3:$AF$11</definedName>
    <definedName name="Schaal_4">'percentages ed'!$AG$3:$AG$13</definedName>
    <definedName name="Schaal_5">'percentages ed'!$AH$3:$AH$14</definedName>
    <definedName name="Schaal_6">'percentages ed'!$AI$3:$AI$13</definedName>
    <definedName name="Schaal_7">'percentages ed'!$AJ$3:$AJ$14</definedName>
    <definedName name="Schaal_8">'percentages ed'!$AK$3:$AK$15</definedName>
    <definedName name="Schaal_9">'percentages ed'!$AL$3:$AL$12</definedName>
  </definedNames>
  <calcPr calcId="162913"/>
</workbook>
</file>

<file path=xl/calcChain.xml><?xml version="1.0" encoding="utf-8"?>
<calcChain xmlns="http://schemas.openxmlformats.org/spreadsheetml/2006/main">
  <c r="F23" i="4" l="1"/>
  <c r="F22" i="4"/>
  <c r="C13" i="4" s="1"/>
  <c r="E24" i="4" s="1"/>
  <c r="F24" i="4" l="1"/>
  <c r="F25" i="4" s="1"/>
  <c r="C14" i="4" s="1"/>
  <c r="B38" i="4" l="1"/>
  <c r="C15" i="4"/>
  <c r="F12" i="4"/>
  <c r="C12" i="4"/>
  <c r="C11" i="4"/>
  <c r="H6" i="4"/>
  <c r="I2" i="4"/>
  <c r="D31" i="4" l="1"/>
  <c r="E35" i="4" s="1"/>
  <c r="H7" i="4"/>
  <c r="H10" i="4"/>
  <c r="F13" i="4"/>
  <c r="F14" i="4" s="1"/>
  <c r="C7" i="4" s="1"/>
  <c r="H8" i="4"/>
  <c r="H9" i="4"/>
  <c r="E34" i="4" l="1"/>
  <c r="H11" i="4"/>
  <c r="C11" i="5" l="1"/>
  <c r="C6" i="4" s="1"/>
  <c r="C10" i="4" l="1"/>
  <c r="C9" i="4"/>
  <c r="C17" i="4" s="1"/>
  <c r="D8" i="4"/>
  <c r="D15" i="4"/>
  <c r="E22" i="4" l="1"/>
  <c r="D19" i="4"/>
  <c r="D18" i="4"/>
  <c r="D22" i="4"/>
  <c r="E23" i="4" l="1"/>
  <c r="D23" i="4"/>
  <c r="E21" i="4"/>
  <c r="D21" i="4"/>
  <c r="D28" i="4" l="1"/>
  <c r="E32" i="4" s="1"/>
  <c r="E33" i="4" l="1"/>
  <c r="E36" i="4" s="1"/>
  <c r="E26" i="4"/>
  <c r="C17" i="5" l="1"/>
  <c r="C15" i="5" s="1"/>
  <c r="C13" i="5" s="1"/>
</calcChain>
</file>

<file path=xl/comments1.xml><?xml version="1.0" encoding="utf-8"?>
<comments xmlns="http://schemas.openxmlformats.org/spreadsheetml/2006/main">
  <authors>
    <author>Herman Jacobs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Uitlooptoeslag is alleen mogelijk voor de schalen L_10, L_11, L_12 en L_13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<sst xmlns="http://schemas.openxmlformats.org/spreadsheetml/2006/main" count="363" uniqueCount="247">
  <si>
    <t xml:space="preserve"> </t>
  </si>
  <si>
    <t>Schaal</t>
  </si>
  <si>
    <t>Alleen vette cijfers wijzigen</t>
  </si>
  <si>
    <t>Salarisnummer</t>
  </si>
  <si>
    <t>schaal</t>
  </si>
  <si>
    <t>soort</t>
  </si>
  <si>
    <t>percentage</t>
  </si>
  <si>
    <t>totaal</t>
  </si>
  <si>
    <t>Werktijdfactor</t>
  </si>
  <si>
    <t>12 X maandsalaris</t>
  </si>
  <si>
    <t>BAPO korting</t>
  </si>
  <si>
    <t>Bruto maandsalaris</t>
  </si>
  <si>
    <t>vakantiegeld</t>
  </si>
  <si>
    <t>eindejaarsuitkering</t>
  </si>
  <si>
    <t>Loonkosten per week</t>
  </si>
  <si>
    <t>eindejaars OOP 1-5</t>
  </si>
  <si>
    <t>eindejaars OOP 6-8</t>
  </si>
  <si>
    <t xml:space="preserve">                                                                              </t>
  </si>
  <si>
    <t>Loonkosten per maand</t>
  </si>
  <si>
    <t>Loonkosten per jaar</t>
  </si>
  <si>
    <t>pensioengevende toelage</t>
  </si>
  <si>
    <t>ABP francise</t>
  </si>
  <si>
    <t>grondslag</t>
  </si>
  <si>
    <t>ABP AO francise</t>
  </si>
  <si>
    <t>wg</t>
  </si>
  <si>
    <t>wn</t>
  </si>
  <si>
    <t>Aan deze berekening kunnen geen rechten worden ontleend.</t>
  </si>
  <si>
    <t>ABP OP/NP</t>
  </si>
  <si>
    <t>ABP voorw pensioen</t>
  </si>
  <si>
    <t>ABP AO pensioen</t>
  </si>
  <si>
    <t>max loon ZVW</t>
  </si>
  <si>
    <t xml:space="preserve">                                </t>
  </si>
  <si>
    <t>ZVW premie vergoeding</t>
  </si>
  <si>
    <t>SVW Loon</t>
  </si>
  <si>
    <t>max loon SVW</t>
  </si>
  <si>
    <t>UFO premie</t>
  </si>
  <si>
    <t>VF premie</t>
  </si>
  <si>
    <t>Participatiefonds</t>
  </si>
  <si>
    <t>jaarfactor</t>
  </si>
  <si>
    <t>Salaristabel</t>
  </si>
  <si>
    <t>salaristabellen</t>
  </si>
  <si>
    <t>Invoer</t>
  </si>
  <si>
    <t>regels</t>
  </si>
  <si>
    <t>IDnr1</t>
  </si>
  <si>
    <t>IDnr2</t>
  </si>
  <si>
    <t>IDnr3</t>
  </si>
  <si>
    <t>LIOa</t>
  </si>
  <si>
    <t>LIOb</t>
  </si>
  <si>
    <t>Schaal_1</t>
  </si>
  <si>
    <t>Schaal_10</t>
  </si>
  <si>
    <t>Schaal_11</t>
  </si>
  <si>
    <t>Schaal_12</t>
  </si>
  <si>
    <t>Schaal_13</t>
  </si>
  <si>
    <t>Schaal_14</t>
  </si>
  <si>
    <t>Schaal_15</t>
  </si>
  <si>
    <t>Schaal_16</t>
  </si>
  <si>
    <t>Schaal_2</t>
  </si>
  <si>
    <t>Schaal_3</t>
  </si>
  <si>
    <t>Schaal_4</t>
  </si>
  <si>
    <t>Schaal_5</t>
  </si>
  <si>
    <t>Schaal_6</t>
  </si>
  <si>
    <t>Schaal_7</t>
  </si>
  <si>
    <t>Schaal_8</t>
  </si>
  <si>
    <t>schaal_9</t>
  </si>
  <si>
    <t>Schaal_9</t>
  </si>
  <si>
    <t>ID schaal 1</t>
  </si>
  <si>
    <t>ID schaal 2</t>
  </si>
  <si>
    <t>ID schaal 3</t>
  </si>
  <si>
    <t>LIO schaal LA</t>
  </si>
  <si>
    <t>LIO schaal LB</t>
  </si>
  <si>
    <t>OOP schaal 1</t>
  </si>
  <si>
    <t>OOP schaal 2</t>
  </si>
  <si>
    <t>OOP schaal 3</t>
  </si>
  <si>
    <t>OOP schaal 4</t>
  </si>
  <si>
    <t>OOP schaal 5</t>
  </si>
  <si>
    <t>OOP schaal 6</t>
  </si>
  <si>
    <t>OOP schaal 7</t>
  </si>
  <si>
    <t>OOP schaal 8</t>
  </si>
  <si>
    <t>OOP schaal 9</t>
  </si>
  <si>
    <t>OOP schaal 10</t>
  </si>
  <si>
    <t>OOP schaal 11</t>
  </si>
  <si>
    <t>OOP schaal 12</t>
  </si>
  <si>
    <t>OOP schaal 13</t>
  </si>
  <si>
    <t>OOP schaal 14</t>
  </si>
  <si>
    <t>OOP schaal 15</t>
  </si>
  <si>
    <t>Participatiebaan</t>
  </si>
  <si>
    <t>versie</t>
  </si>
  <si>
    <t>datum</t>
  </si>
  <si>
    <t>wie</t>
  </si>
  <si>
    <t>wijziging</t>
  </si>
  <si>
    <t>1.5.6</t>
  </si>
  <si>
    <t>herman</t>
  </si>
  <si>
    <t>abp premie per 1-4-2016 aangepast</t>
  </si>
  <si>
    <t>1.5.5</t>
  </si>
  <si>
    <t>premies per 1-1-2016 aangepast</t>
  </si>
  <si>
    <t>1.5.4</t>
  </si>
  <si>
    <t>salarisbedragen per 1-1-2015 aangepast, en schaal DA voor speciall onderwijs toegeveogd</t>
  </si>
  <si>
    <t>1.5.3</t>
  </si>
  <si>
    <t>percentage van werktijdfactor ouderen verlof gewijzigd van 25 naar 40 % en van 35 naar 50%
tekst bapo gewijzigd naar ouderenverlof</t>
  </si>
  <si>
    <t>1.5.7</t>
  </si>
  <si>
    <t>peter</t>
  </si>
  <si>
    <t>salarisbedragen aangepast naar cao 1-7-2016</t>
  </si>
  <si>
    <t>1.5.8</t>
  </si>
  <si>
    <t>premie VF aangepast en beperking min wtf ouderenverlof verwijderd</t>
  </si>
  <si>
    <t>1.5.9.</t>
  </si>
  <si>
    <t>premies per 1-1 2017 en min loon aangepast</t>
  </si>
  <si>
    <t>1.5.10</t>
  </si>
  <si>
    <t>permie VF per 1-7-2017 en aanpassing min loon 1-7-2017 en aanpassen partcipatiebaan</t>
  </si>
  <si>
    <t>1.5.11</t>
  </si>
  <si>
    <t>premies per 1-1 2018 en min loon aangepast</t>
  </si>
  <si>
    <t>2.0</t>
  </si>
  <si>
    <t>geconverteerd naar office 2013</t>
  </si>
  <si>
    <t>IDnr28</t>
  </si>
  <si>
    <t>IDnr37</t>
  </si>
  <si>
    <t>LIOa1</t>
  </si>
  <si>
    <t>LIOb1</t>
  </si>
  <si>
    <t>Schaal_17</t>
  </si>
  <si>
    <t>Schaal_1013</t>
  </si>
  <si>
    <t>Schaal_1118</t>
  </si>
  <si>
    <t>Schaal_1216</t>
  </si>
  <si>
    <t>Schaal_1313</t>
  </si>
  <si>
    <t>Schaal_1411</t>
  </si>
  <si>
    <t>Schaal_1512</t>
  </si>
  <si>
    <t>Schaal_1612</t>
  </si>
  <si>
    <t>Schaal_28</t>
  </si>
  <si>
    <t>Schaal_39</t>
  </si>
  <si>
    <t>Schaal_411</t>
  </si>
  <si>
    <t>Schaal_512</t>
  </si>
  <si>
    <t>Schaal_611</t>
  </si>
  <si>
    <t>Schaal_712</t>
  </si>
  <si>
    <t>Schaal_813</t>
  </si>
  <si>
    <t>schaal_910</t>
  </si>
  <si>
    <t>ja</t>
  </si>
  <si>
    <t>nee</t>
  </si>
  <si>
    <t>Uitlooptoeslag</t>
  </si>
  <si>
    <t>Werktijdfactor Ouderenverlof *</t>
  </si>
  <si>
    <t>Bruto toelage **</t>
  </si>
  <si>
    <t xml:space="preserve">Uitlooptoeslag </t>
  </si>
  <si>
    <t xml:space="preserve">** Hierin kunt u een maandelijke bruto toelage invullen die u samen met betrokkene 
  afspreekt.
</t>
  </si>
  <si>
    <t>IDnr19</t>
  </si>
  <si>
    <t>L_1015</t>
  </si>
  <si>
    <t>L_1115</t>
  </si>
  <si>
    <t>L_1215</t>
  </si>
  <si>
    <t>L_1315</t>
  </si>
  <si>
    <t>Participatiebaan4</t>
  </si>
  <si>
    <t>OP schaal L_10</t>
  </si>
  <si>
    <t>OP schaal L_11</t>
  </si>
  <si>
    <t>OP schaal L_12</t>
  </si>
  <si>
    <t>OP schaal L_13</t>
  </si>
  <si>
    <t>2.1</t>
  </si>
  <si>
    <t>aangepast cao 1-9-2018</t>
  </si>
  <si>
    <t>Bruto pensioengevend jaarinkomen</t>
  </si>
  <si>
    <t>12*maand+VU (grondslag VF en Participatiefonds)</t>
  </si>
  <si>
    <t>2.3</t>
  </si>
  <si>
    <t>grondslag voor berekening premie ZVW aangepast</t>
  </si>
  <si>
    <t>Bapo korting ook bij participatiebaan en ID aangepast naar 40% korting in plaats van 50%</t>
  </si>
  <si>
    <t>Inkomenstoelage weer toegevoegd voor OOP</t>
  </si>
  <si>
    <t>Toelagen geindexeerd met 2,5% (directietoelage, eindejaarsuitkering OOP en uitlooptoeslag)</t>
  </si>
  <si>
    <t>* Werktijdfactor ouderenverlof is exclusief het basisbudget.</t>
  </si>
  <si>
    <t>2.4</t>
  </si>
  <si>
    <t>corr fout berekening premie PF en VF</t>
  </si>
  <si>
    <t>Eigen risico VF</t>
  </si>
  <si>
    <t>Alleen berekening solidariteitsheffing</t>
  </si>
  <si>
    <t>2.5</t>
  </si>
  <si>
    <t>keuze mogelijkheid ER VF ingebouwd</t>
  </si>
  <si>
    <t>OOP schaal 16</t>
  </si>
  <si>
    <t>2.6</t>
  </si>
  <si>
    <t>aanroep schaal 16 hersteld</t>
  </si>
  <si>
    <t>2.7</t>
  </si>
  <si>
    <t>sal bedragen en premies  1-1-2019</t>
  </si>
  <si>
    <t>2.8</t>
  </si>
  <si>
    <t>aanpassing minimum loon per 1-7-2019</t>
  </si>
  <si>
    <t>WAO/WIA (+KO)</t>
  </si>
  <si>
    <t>2.9</t>
  </si>
  <si>
    <t>sal bedragen en premies  1-1-2020</t>
  </si>
  <si>
    <t>2.91</t>
  </si>
  <si>
    <t>L14 was niet te selecteren</t>
  </si>
  <si>
    <t>D11</t>
  </si>
  <si>
    <t>D12</t>
  </si>
  <si>
    <t>D13</t>
  </si>
  <si>
    <t>D14</t>
  </si>
  <si>
    <t>D15</t>
  </si>
  <si>
    <t>A10</t>
  </si>
  <si>
    <t>A11</t>
  </si>
  <si>
    <t>A12</t>
  </si>
  <si>
    <t>A13</t>
  </si>
  <si>
    <t>A_10</t>
  </si>
  <si>
    <t>A_11</t>
  </si>
  <si>
    <t>A_12</t>
  </si>
  <si>
    <t>A_13</t>
  </si>
  <si>
    <t>A_1015</t>
  </si>
  <si>
    <t>A_1115</t>
  </si>
  <si>
    <t>A_1215</t>
  </si>
  <si>
    <t>A_1315</t>
  </si>
  <si>
    <t>D_11</t>
  </si>
  <si>
    <t>D_12</t>
  </si>
  <si>
    <t>D_13</t>
  </si>
  <si>
    <t>D_14</t>
  </si>
  <si>
    <t>D_15</t>
  </si>
  <si>
    <t>D_1113</t>
  </si>
  <si>
    <t>D_1215</t>
  </si>
  <si>
    <t>D_1316</t>
  </si>
  <si>
    <t>D_1418</t>
  </si>
  <si>
    <t>D_1518</t>
  </si>
  <si>
    <t>Schalen A10-A13 en D11-D15 toegevoegd</t>
  </si>
  <si>
    <t>2.92</t>
  </si>
  <si>
    <t>ID1 schaal liep niet tot 9</t>
  </si>
  <si>
    <t>2.93</t>
  </si>
  <si>
    <t>2.94</t>
  </si>
  <si>
    <t>aanpassing minimum loon per 1-7-2020</t>
  </si>
  <si>
    <t>2.95</t>
  </si>
  <si>
    <t>Schalen AB-AE en DA-DE verwijderd en dir toeslag</t>
  </si>
  <si>
    <t>2.96</t>
  </si>
  <si>
    <t>Min loon 2021 en premies 2021</t>
  </si>
  <si>
    <t>2.97</t>
  </si>
  <si>
    <t>Peter</t>
  </si>
  <si>
    <t>Min loon 7- 2021</t>
  </si>
  <si>
    <t>2.98</t>
  </si>
  <si>
    <t>Omvang bestand verkleind</t>
  </si>
  <si>
    <t>2.99</t>
  </si>
  <si>
    <t>Premie Participatiefonds aangepast</t>
  </si>
  <si>
    <t>3.00</t>
  </si>
  <si>
    <t>Wijzigingen januari 2022 doorgevoerd</t>
  </si>
  <si>
    <t>Deze indicatie werkt met de salarisbedragen en premies per 01-01-2022.</t>
  </si>
  <si>
    <t>Kleine correcties in salarisbedragen PO</t>
  </si>
  <si>
    <t>3.01</t>
  </si>
  <si>
    <t>LB</t>
  </si>
  <si>
    <t>LC</t>
  </si>
  <si>
    <t>LD</t>
  </si>
  <si>
    <t>LE</t>
  </si>
  <si>
    <t>Eenmalige uitkering OOP</t>
  </si>
  <si>
    <t>Arbeidsmarkttoelage directie</t>
  </si>
  <si>
    <t>Bindingstoelage</t>
  </si>
  <si>
    <t>Arbeidsmarkttoelage dir A10/A11</t>
  </si>
  <si>
    <t>Arbeidsmarkttoelage dir A12</t>
  </si>
  <si>
    <t>Arbeidsmarkttoelage dir D11/D12</t>
  </si>
  <si>
    <t>Arbeidsmarkttoelage D13</t>
  </si>
  <si>
    <t>Bindingstoelage dir 10/11/12</t>
  </si>
  <si>
    <t>Bindingstoelage dir 13 en hoger</t>
  </si>
  <si>
    <t>Uitlooptoeslag LB</t>
  </si>
  <si>
    <t>Uitlooptoeslag LC</t>
  </si>
  <si>
    <t>Uitlooptoeslag LD</t>
  </si>
  <si>
    <t>Uitlooptoeslag LE</t>
  </si>
  <si>
    <t>Bindingstoelage schaal 9</t>
  </si>
  <si>
    <t>Indicatie Loonkostenberekening 2022 (PO)  versie 3.02</t>
  </si>
  <si>
    <t>3.02</t>
  </si>
  <si>
    <t>Stelselwijziging PO verwerkt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</si>
</sst>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0"/>
    <numFmt numFmtId="165" formatCode="#0.00"/>
    <numFmt numFmtId="166" formatCode="#,##0.00_ ;\-#,##0.00\ "/>
    <numFmt numFmtId="167" formatCode="_-[$€-2]\ * #,##0.00_-;_-[$€-2]\ * #,##0.00\-;_-[$€-2]\ * &quot;-&quot;??_-;_-@_-"/>
    <numFmt numFmtId="168" formatCode="0.000%"/>
    <numFmt numFmtId="169" formatCode="0.000"/>
    <numFmt numFmtId="170" formatCode="d/mm/yy;@"/>
    <numFmt numFmtId="171" formatCode="_ [$€-2]\ * #,##0.00_ ;_ [$€-2]\ * \-#,##0.00_ ;_ [$€-2]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 tint="0.499984740745262"/>
      <name val="Calibri"/>
      <family val="2"/>
    </font>
    <font>
      <sz val="11"/>
      <color theme="1"/>
      <name val="Arial"/>
      <family val="2"/>
    </font>
    <font>
      <sz val="10"/>
      <color theme="1" tint="0.499984740745262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0" fontId="3" fillId="2" borderId="1" xfId="0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 applyFill="1"/>
    <xf numFmtId="166" fontId="0" fillId="0" borderId="0" xfId="0" applyNumberFormat="1" applyFill="1"/>
    <xf numFmtId="1" fontId="4" fillId="0" borderId="0" xfId="0" applyNumberFormat="1" applyFont="1" applyFill="1"/>
    <xf numFmtId="0" fontId="5" fillId="3" borderId="0" xfId="0" applyFont="1" applyFill="1" applyBorder="1" applyAlignment="1">
      <alignment horizontal="center"/>
    </xf>
    <xf numFmtId="0" fontId="0" fillId="0" borderId="0" xfId="0" applyFont="1" applyFill="1" applyBorder="1"/>
    <xf numFmtId="166" fontId="3" fillId="0" borderId="0" xfId="0" applyNumberFormat="1" applyFont="1" applyFill="1" applyBorder="1"/>
    <xf numFmtId="0" fontId="0" fillId="0" borderId="0" xfId="0" applyFill="1" applyBorder="1"/>
    <xf numFmtId="166" fontId="3" fillId="4" borderId="0" xfId="0" applyNumberFormat="1" applyFont="1" applyFill="1" applyBorder="1"/>
    <xf numFmtId="167" fontId="3" fillId="2" borderId="0" xfId="0" applyNumberFormat="1" applyFont="1" applyFill="1" applyBorder="1" applyProtection="1">
      <protection hidden="1"/>
    </xf>
    <xf numFmtId="167" fontId="0" fillId="3" borderId="0" xfId="0" applyNumberFormat="1" applyFill="1"/>
    <xf numFmtId="0" fontId="0" fillId="0" borderId="0" xfId="0" applyFill="1" applyAlignment="1">
      <alignment horizontal="center"/>
    </xf>
    <xf numFmtId="165" fontId="4" fillId="6" borderId="0" xfId="0" applyNumberFormat="1" applyFont="1" applyFill="1"/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/>
    <xf numFmtId="0" fontId="0" fillId="0" borderId="0" xfId="0" applyFill="1" applyAlignment="1">
      <alignment horizontal="right"/>
    </xf>
    <xf numFmtId="10" fontId="4" fillId="6" borderId="0" xfId="0" applyNumberFormat="1" applyFont="1" applyFill="1"/>
    <xf numFmtId="2" fontId="3" fillId="0" borderId="0" xfId="0" applyNumberFormat="1" applyFont="1" applyBorder="1"/>
    <xf numFmtId="2" fontId="3" fillId="4" borderId="0" xfId="0" applyNumberFormat="1" applyFont="1" applyFill="1" applyBorder="1"/>
    <xf numFmtId="165" fontId="0" fillId="0" borderId="0" xfId="0" applyNumberFormat="1"/>
    <xf numFmtId="10" fontId="4" fillId="0" borderId="0" xfId="0" applyNumberFormat="1" applyFont="1" applyFill="1" applyBorder="1"/>
    <xf numFmtId="2" fontId="3" fillId="0" borderId="0" xfId="0" applyNumberFormat="1" applyFont="1" applyFill="1" applyBorder="1"/>
    <xf numFmtId="10" fontId="4" fillId="6" borderId="0" xfId="0" applyNumberFormat="1" applyFont="1" applyFill="1" applyBorder="1"/>
    <xf numFmtId="4" fontId="4" fillId="6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65" fontId="0" fillId="5" borderId="0" xfId="0" applyNumberFormat="1" applyFill="1"/>
    <xf numFmtId="10" fontId="4" fillId="6" borderId="0" xfId="0" applyNumberFormat="1" applyFont="1" applyFill="1" applyAlignment="1">
      <alignment horizontal="center"/>
    </xf>
    <xf numFmtId="169" fontId="0" fillId="0" borderId="0" xfId="0" applyNumberFormat="1" applyFill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170" fontId="6" fillId="7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" fontId="6" fillId="0" borderId="0" xfId="0" applyNumberFormat="1" applyFont="1" applyFill="1" applyBorder="1" applyAlignment="1" applyProtection="1">
      <alignment horizontal="center"/>
    </xf>
    <xf numFmtId="9" fontId="6" fillId="0" borderId="0" xfId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left"/>
    </xf>
    <xf numFmtId="49" fontId="14" fillId="8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Border="1" applyAlignment="1" applyProtection="1">
      <alignment horizontal="left"/>
    </xf>
    <xf numFmtId="0" fontId="14" fillId="8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15" fillId="10" borderId="0" xfId="0" applyFont="1" applyFill="1" applyBorder="1" applyProtection="1"/>
    <xf numFmtId="49" fontId="16" fillId="10" borderId="0" xfId="0" applyNumberFormat="1" applyFont="1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/>
    </xf>
    <xf numFmtId="0" fontId="15" fillId="10" borderId="0" xfId="0" applyFont="1" applyFill="1" applyProtection="1"/>
    <xf numFmtId="0" fontId="15" fillId="10" borderId="0" xfId="0" quotePrefix="1" applyFont="1" applyFill="1" applyProtection="1"/>
    <xf numFmtId="10" fontId="15" fillId="10" borderId="0" xfId="0" applyNumberFormat="1" applyFont="1" applyFill="1" applyProtection="1"/>
    <xf numFmtId="2" fontId="15" fillId="10" borderId="0" xfId="0" applyNumberFormat="1" applyFont="1" applyFill="1" applyProtection="1"/>
    <xf numFmtId="0" fontId="11" fillId="8" borderId="0" xfId="0" applyFont="1" applyFill="1" applyBorder="1" applyAlignment="1" applyProtection="1">
      <alignment horizontal="left"/>
    </xf>
    <xf numFmtId="0" fontId="16" fillId="8" borderId="0" xfId="0" applyFont="1" applyFill="1" applyBorder="1" applyAlignment="1" applyProtection="1">
      <alignment horizontal="left"/>
    </xf>
    <xf numFmtId="0" fontId="0" fillId="11" borderId="0" xfId="0" applyFill="1"/>
    <xf numFmtId="0" fontId="3" fillId="11" borderId="0" xfId="0" applyFont="1" applyFill="1" applyBorder="1" applyAlignment="1">
      <alignment horizontal="right"/>
    </xf>
    <xf numFmtId="0" fontId="3" fillId="11" borderId="0" xfId="0" applyFont="1" applyFill="1"/>
    <xf numFmtId="0" fontId="3" fillId="11" borderId="0" xfId="0" applyFont="1" applyFill="1" applyBorder="1"/>
    <xf numFmtId="0" fontId="5" fillId="11" borderId="0" xfId="0" applyFont="1" applyFill="1" applyBorder="1" applyAlignment="1">
      <alignment horizontal="center"/>
    </xf>
    <xf numFmtId="167" fontId="3" fillId="11" borderId="0" xfId="0" applyNumberFormat="1" applyFont="1" applyFill="1" applyBorder="1" applyProtection="1">
      <protection hidden="1"/>
    </xf>
    <xf numFmtId="0" fontId="2" fillId="3" borderId="0" xfId="0" applyFont="1" applyFill="1" applyAlignment="1">
      <alignment horizontal="center" vertical="top"/>
    </xf>
    <xf numFmtId="0" fontId="17" fillId="11" borderId="0" xfId="0" applyFont="1" applyFill="1"/>
    <xf numFmtId="0" fontId="17" fillId="11" borderId="0" xfId="0" applyFont="1" applyFill="1" applyAlignment="1"/>
    <xf numFmtId="0" fontId="3" fillId="11" borderId="0" xfId="0" applyFont="1" applyFill="1" applyAlignment="1">
      <alignment vertical="center"/>
    </xf>
    <xf numFmtId="0" fontId="4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3" fillId="0" borderId="0" xfId="0" applyFont="1" applyAlignment="1">
      <alignment wrapText="1"/>
    </xf>
    <xf numFmtId="14" fontId="0" fillId="0" borderId="0" xfId="0" applyNumberFormat="1"/>
    <xf numFmtId="0" fontId="15" fillId="10" borderId="0" xfId="0" applyFont="1" applyFill="1"/>
    <xf numFmtId="1" fontId="3" fillId="8" borderId="2" xfId="0" applyNumberFormat="1" applyFont="1" applyFill="1" applyBorder="1"/>
    <xf numFmtId="0" fontId="3" fillId="0" borderId="0" xfId="0" applyFont="1" applyFill="1" applyBorder="1"/>
    <xf numFmtId="0" fontId="15" fillId="10" borderId="0" xfId="0" applyFont="1" applyFill="1" applyProtection="1"/>
    <xf numFmtId="0" fontId="15" fillId="10" borderId="0" xfId="0" quotePrefix="1" applyFont="1" applyFill="1" applyProtection="1"/>
    <xf numFmtId="0" fontId="15" fillId="12" borderId="0" xfId="0" applyFont="1" applyFill="1" applyProtection="1"/>
    <xf numFmtId="0" fontId="15" fillId="10" borderId="0" xfId="0" applyFont="1" applyFill="1" applyProtection="1"/>
    <xf numFmtId="0" fontId="15" fillId="8" borderId="2" xfId="0" quotePrefix="1" applyFont="1" applyFill="1" applyBorder="1" applyProtection="1"/>
    <xf numFmtId="167" fontId="3" fillId="2" borderId="1" xfId="0" applyNumberFormat="1" applyFont="1" applyFill="1" applyBorder="1" applyProtection="1">
      <protection locked="0" hidden="1"/>
    </xf>
    <xf numFmtId="0" fontId="17" fillId="11" borderId="0" xfId="0" applyFont="1" applyFill="1" applyAlignment="1">
      <alignment horizontal="right"/>
    </xf>
    <xf numFmtId="2" fontId="3" fillId="13" borderId="0" xfId="0" applyNumberFormat="1" applyFont="1" applyFill="1" applyBorder="1"/>
    <xf numFmtId="171" fontId="3" fillId="14" borderId="0" xfId="0" applyNumberFormat="1" applyFont="1" applyFill="1" applyBorder="1"/>
    <xf numFmtId="0" fontId="15" fillId="10" borderId="0" xfId="0" applyFont="1" applyFill="1"/>
    <xf numFmtId="0" fontId="15" fillId="10" borderId="0" xfId="0" quotePrefix="1" applyFont="1" applyFill="1" applyProtection="1"/>
    <xf numFmtId="0" fontId="15" fillId="15" borderId="0" xfId="0" quotePrefix="1" applyFont="1" applyFill="1" applyBorder="1" applyProtection="1"/>
    <xf numFmtId="0" fontId="15" fillId="15" borderId="0" xfId="0" applyFont="1" applyFill="1" applyProtection="1"/>
    <xf numFmtId="0" fontId="15" fillId="15" borderId="0" xfId="0" applyFont="1" applyFill="1"/>
    <xf numFmtId="0" fontId="15" fillId="10" borderId="0" xfId="0" applyFont="1" applyFill="1" applyProtection="1"/>
    <xf numFmtId="0" fontId="15" fillId="12" borderId="0" xfId="0" applyFont="1" applyFill="1" applyProtection="1"/>
    <xf numFmtId="4" fontId="4" fillId="12" borderId="0" xfId="0" applyNumberFormat="1" applyFont="1" applyFill="1" applyAlignment="1">
      <alignment horizontal="center"/>
    </xf>
    <xf numFmtId="0" fontId="17" fillId="0" borderId="1" xfId="0" applyFont="1" applyFill="1" applyBorder="1" applyAlignment="1" applyProtection="1">
      <alignment horizontal="center" vertical="top"/>
      <protection locked="0"/>
    </xf>
    <xf numFmtId="0" fontId="3" fillId="16" borderId="0" xfId="0" applyFont="1" applyFill="1" applyBorder="1" applyAlignment="1" applyProtection="1">
      <alignment horizontal="center"/>
      <protection locked="0"/>
    </xf>
    <xf numFmtId="168" fontId="4" fillId="6" borderId="0" xfId="0" applyNumberFormat="1" applyFont="1" applyFill="1"/>
    <xf numFmtId="2" fontId="4" fillId="17" borderId="0" xfId="0" applyNumberFormat="1" applyFont="1" applyFill="1" applyAlignment="1">
      <alignment horizontal="center"/>
    </xf>
    <xf numFmtId="9" fontId="4" fillId="17" borderId="0" xfId="0" applyNumberFormat="1" applyFont="1" applyFill="1"/>
    <xf numFmtId="10" fontId="4" fillId="17" borderId="0" xfId="0" applyNumberFormat="1" applyFont="1" applyFill="1" applyAlignment="1">
      <alignment horizontal="center"/>
    </xf>
    <xf numFmtId="10" fontId="4" fillId="17" borderId="0" xfId="0" applyNumberFormat="1" applyFont="1" applyFill="1" applyBorder="1"/>
    <xf numFmtId="49" fontId="19" fillId="0" borderId="0" xfId="0" applyNumberFormat="1" applyFont="1" applyFill="1" applyBorder="1" applyAlignment="1" applyProtection="1">
      <alignment horizontal="left"/>
    </xf>
    <xf numFmtId="49" fontId="11" fillId="8" borderId="0" xfId="0" applyNumberFormat="1" applyFont="1" applyFill="1" applyBorder="1" applyAlignment="1" applyProtection="1">
      <alignment horizontal="left"/>
    </xf>
    <xf numFmtId="49" fontId="16" fillId="8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3" fontId="7" fillId="9" borderId="0" xfId="0" applyNumberFormat="1" applyFont="1" applyFill="1" applyBorder="1" applyAlignment="1" applyProtection="1">
      <alignment horizontal="center"/>
    </xf>
    <xf numFmtId="3" fontId="7" fillId="9" borderId="0" xfId="0" applyNumberFormat="1" applyFont="1" applyFill="1" applyBorder="1" applyAlignment="1" applyProtection="1">
      <alignment horizontal="left"/>
    </xf>
    <xf numFmtId="4" fontId="7" fillId="9" borderId="0" xfId="0" applyNumberFormat="1" applyFont="1" applyFill="1" applyBorder="1" applyAlignment="1" applyProtection="1">
      <alignment horizontal="center"/>
    </xf>
    <xf numFmtId="3" fontId="6" fillId="9" borderId="0" xfId="0" applyNumberFormat="1" applyFont="1" applyFill="1" applyBorder="1" applyAlignment="1" applyProtection="1">
      <alignment horizontal="center"/>
    </xf>
    <xf numFmtId="3" fontId="6" fillId="9" borderId="0" xfId="0" applyNumberFormat="1" applyFont="1" applyFill="1" applyBorder="1" applyAlignment="1" applyProtection="1">
      <alignment horizontal="left"/>
    </xf>
    <xf numFmtId="10" fontId="4" fillId="18" borderId="0" xfId="0" applyNumberFormat="1" applyFont="1" applyFill="1"/>
    <xf numFmtId="49" fontId="20" fillId="0" borderId="0" xfId="0" applyNumberFormat="1" applyFont="1" applyFill="1" applyBorder="1" applyAlignment="1" applyProtection="1">
      <alignment horizontal="left"/>
    </xf>
    <xf numFmtId="0" fontId="1" fillId="10" borderId="0" xfId="0" applyFont="1" applyFill="1" applyProtection="1"/>
    <xf numFmtId="0" fontId="17" fillId="11" borderId="0" xfId="0" applyFont="1" applyFill="1" applyAlignment="1">
      <alignment vertical="top" wrapText="1"/>
    </xf>
    <xf numFmtId="0" fontId="17" fillId="0" borderId="0" xfId="0" applyFont="1" applyAlignment="1"/>
    <xf numFmtId="0" fontId="18" fillId="11" borderId="0" xfId="0" applyFont="1" applyFill="1" applyAlignment="1"/>
    <xf numFmtId="0" fontId="18" fillId="0" borderId="0" xfId="0" applyFont="1" applyAlignment="1"/>
  </cellXfs>
  <cellStyles count="2">
    <cellStyle name="Procent" xfId="1" builtinId="5"/>
    <cellStyle name="Standaard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2</xdr:row>
      <xdr:rowOff>85725</xdr:rowOff>
    </xdr:from>
    <xdr:ext cx="2009775" cy="590550"/>
    <xdr:pic>
      <xdr:nvPicPr>
        <xdr:cNvPr id="2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476250"/>
          <a:ext cx="2009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6"/>
  <sheetViews>
    <sheetView tabSelected="1" workbookViewId="0">
      <selection activeCell="C4" sqref="C4"/>
    </sheetView>
  </sheetViews>
  <sheetFormatPr defaultColWidth="0" defaultRowHeight="15" zeroHeight="1" x14ac:dyDescent="0.25"/>
  <cols>
    <col min="1" max="2" width="9.140625" customWidth="1"/>
    <col min="3" max="3" width="40.140625" customWidth="1"/>
    <col min="4" max="5" width="9.140625" customWidth="1"/>
    <col min="6" max="6" width="21.85546875" customWidth="1"/>
    <col min="7" max="7" width="7" hidden="1"/>
    <col min="8" max="8" width="14.28515625" hidden="1"/>
    <col min="9" max="16383" width="7" hidden="1"/>
    <col min="16384" max="16384" width="5.5703125" hidden="1"/>
  </cols>
  <sheetData>
    <row r="1" spans="1:6" x14ac:dyDescent="0.25">
      <c r="A1" s="64"/>
      <c r="B1" s="64"/>
      <c r="C1" s="64"/>
      <c r="D1" s="64"/>
      <c r="E1" s="64"/>
      <c r="F1" s="64"/>
    </row>
    <row r="2" spans="1:6" ht="15.75" x14ac:dyDescent="0.25">
      <c r="A2" s="64"/>
      <c r="B2" s="64"/>
      <c r="C2" s="70" t="s">
        <v>244</v>
      </c>
      <c r="D2" s="64"/>
      <c r="E2" s="64"/>
      <c r="F2" s="64"/>
    </row>
    <row r="3" spans="1:6" x14ac:dyDescent="0.25">
      <c r="A3" s="64"/>
      <c r="B3" s="65" t="s">
        <v>1</v>
      </c>
      <c r="C3" s="3" t="s">
        <v>226</v>
      </c>
      <c r="D3" s="67"/>
      <c r="E3" s="67"/>
      <c r="F3" s="64"/>
    </row>
    <row r="4" spans="1:6" x14ac:dyDescent="0.25">
      <c r="A4" s="64"/>
      <c r="B4" s="65" t="s">
        <v>3</v>
      </c>
      <c r="C4" s="8">
        <v>9</v>
      </c>
      <c r="D4" s="67"/>
      <c r="E4" s="67"/>
      <c r="F4" s="64"/>
    </row>
    <row r="5" spans="1:6" x14ac:dyDescent="0.25">
      <c r="A5" s="64"/>
      <c r="B5" s="65" t="s">
        <v>8</v>
      </c>
      <c r="C5" s="9">
        <v>0.5</v>
      </c>
      <c r="D5" s="67"/>
      <c r="E5" s="67"/>
      <c r="F5" s="64"/>
    </row>
    <row r="6" spans="1:6" x14ac:dyDescent="0.25">
      <c r="A6" s="64"/>
      <c r="B6" s="65" t="s">
        <v>135</v>
      </c>
      <c r="C6" s="9"/>
      <c r="D6" s="67"/>
      <c r="E6" s="67"/>
      <c r="F6" s="64"/>
    </row>
    <row r="7" spans="1:6" x14ac:dyDescent="0.25">
      <c r="A7" s="64"/>
      <c r="B7" s="65" t="s">
        <v>136</v>
      </c>
      <c r="C7" s="89"/>
      <c r="D7" s="67"/>
      <c r="E7" s="67"/>
      <c r="F7" s="64"/>
    </row>
    <row r="8" spans="1:6" x14ac:dyDescent="0.25">
      <c r="A8" s="64"/>
      <c r="B8" s="90" t="s">
        <v>137</v>
      </c>
      <c r="C8" s="101" t="s">
        <v>133</v>
      </c>
      <c r="D8" s="64"/>
      <c r="E8" s="64"/>
      <c r="F8" s="64"/>
    </row>
    <row r="9" spans="1:6" x14ac:dyDescent="0.25">
      <c r="A9" s="64"/>
      <c r="B9" s="65" t="s">
        <v>161</v>
      </c>
      <c r="C9" s="102" t="s">
        <v>133</v>
      </c>
      <c r="D9" s="122" t="s">
        <v>162</v>
      </c>
      <c r="E9" s="123"/>
      <c r="F9" s="123"/>
    </row>
    <row r="10" spans="1:6" x14ac:dyDescent="0.25">
      <c r="A10" s="64"/>
      <c r="B10" s="65"/>
      <c r="C10" s="13"/>
      <c r="D10" s="64"/>
      <c r="E10" s="68"/>
      <c r="F10" s="64"/>
    </row>
    <row r="11" spans="1:6" x14ac:dyDescent="0.25">
      <c r="A11" s="64"/>
      <c r="B11" s="65" t="s">
        <v>11</v>
      </c>
      <c r="C11" s="18">
        <f>IF('percentages ed'!I2=0,0,((VLOOKUP('percentages ed'!I2,'salaristabel PO'!A4:V38,C4+2,0)+'percentages ed'!H11)*C5))</f>
        <v>1875.5</v>
      </c>
      <c r="D11" s="64"/>
      <c r="E11" s="69"/>
      <c r="F11" s="64"/>
    </row>
    <row r="12" spans="1:6" x14ac:dyDescent="0.25">
      <c r="A12" s="64"/>
      <c r="B12" s="64"/>
      <c r="C12" s="64"/>
      <c r="D12" s="64"/>
      <c r="E12" s="64"/>
      <c r="F12" s="64"/>
    </row>
    <row r="13" spans="1:6" x14ac:dyDescent="0.25">
      <c r="A13" s="64"/>
      <c r="B13" s="65" t="s">
        <v>14</v>
      </c>
      <c r="C13" s="18">
        <f>C15*3/13</f>
        <v>694.11851291248524</v>
      </c>
      <c r="D13" s="64"/>
      <c r="E13" s="64"/>
      <c r="F13" s="64"/>
    </row>
    <row r="14" spans="1:6" x14ac:dyDescent="0.25">
      <c r="A14" s="64"/>
      <c r="B14" s="64"/>
      <c r="C14" s="64"/>
      <c r="D14" s="64"/>
      <c r="E14" s="67"/>
      <c r="F14" s="64"/>
    </row>
    <row r="15" spans="1:6" x14ac:dyDescent="0.25">
      <c r="A15" s="64" t="s">
        <v>17</v>
      </c>
      <c r="B15" s="65" t="s">
        <v>18</v>
      </c>
      <c r="C15" s="18">
        <f>C17/12</f>
        <v>3007.8468892874357</v>
      </c>
      <c r="D15" s="67"/>
      <c r="E15" s="69"/>
      <c r="F15" s="64"/>
    </row>
    <row r="16" spans="1:6" x14ac:dyDescent="0.25">
      <c r="A16" s="64"/>
      <c r="B16" s="64"/>
      <c r="C16" s="64"/>
      <c r="D16" s="64"/>
      <c r="E16" s="64"/>
      <c r="F16" s="64"/>
    </row>
    <row r="17" spans="1:6" x14ac:dyDescent="0.25">
      <c r="A17" s="64"/>
      <c r="B17" s="65" t="s">
        <v>19</v>
      </c>
      <c r="C17" s="18">
        <f>IF(C11=0,0,('percentages ed'!C17+'percentages ed'!E23+'percentages ed'!E22+'percentages ed'!E26+'percentages ed'!E24+'percentages ed'!E36+'percentages ed'!E21-'percentages ed'!D8))</f>
        <v>36094.16267144923</v>
      </c>
      <c r="D17" s="64"/>
      <c r="E17" s="69"/>
      <c r="F17" s="64"/>
    </row>
    <row r="18" spans="1:6" x14ac:dyDescent="0.25">
      <c r="A18" s="64"/>
      <c r="B18" s="64"/>
      <c r="C18" s="19" t="s">
        <v>0</v>
      </c>
      <c r="D18" s="64"/>
      <c r="E18" s="69"/>
      <c r="F18" s="64"/>
    </row>
    <row r="19" spans="1:6" x14ac:dyDescent="0.25">
      <c r="A19" s="64"/>
      <c r="B19" s="66" t="s">
        <v>223</v>
      </c>
      <c r="C19" s="64"/>
      <c r="D19" s="64"/>
      <c r="E19" s="64"/>
      <c r="F19" s="64"/>
    </row>
    <row r="20" spans="1:6" x14ac:dyDescent="0.25">
      <c r="A20" s="64"/>
      <c r="B20" s="71"/>
      <c r="C20" s="72"/>
      <c r="D20" s="72"/>
      <c r="E20" s="72"/>
      <c r="F20" s="72"/>
    </row>
    <row r="21" spans="1:6" x14ac:dyDescent="0.25">
      <c r="A21" s="64"/>
      <c r="B21" s="73"/>
      <c r="C21" s="72"/>
      <c r="D21" s="72"/>
      <c r="E21" s="72"/>
      <c r="F21" s="72"/>
    </row>
    <row r="22" spans="1:6" x14ac:dyDescent="0.25">
      <c r="A22" s="64"/>
      <c r="B22" s="73"/>
      <c r="C22" s="72"/>
      <c r="D22" s="72"/>
      <c r="E22" s="72"/>
      <c r="F22" s="72"/>
    </row>
    <row r="23" spans="1:6" x14ac:dyDescent="0.25">
      <c r="A23" s="64"/>
      <c r="B23" s="71" t="s">
        <v>26</v>
      </c>
      <c r="C23" s="71"/>
      <c r="D23" s="71"/>
      <c r="E23" s="71"/>
      <c r="F23" s="71"/>
    </row>
    <row r="24" spans="1:6" x14ac:dyDescent="0.25">
      <c r="A24" s="64"/>
      <c r="B24" s="71" t="s">
        <v>158</v>
      </c>
      <c r="C24" s="71"/>
      <c r="D24" s="71"/>
      <c r="E24" s="71"/>
      <c r="F24" s="71"/>
    </row>
    <row r="25" spans="1:6" x14ac:dyDescent="0.25">
      <c r="A25" s="64"/>
      <c r="B25" s="120" t="s">
        <v>138</v>
      </c>
      <c r="C25" s="121"/>
      <c r="D25" s="121"/>
      <c r="E25" s="121"/>
      <c r="F25" s="121"/>
    </row>
    <row r="26" spans="1:6" x14ac:dyDescent="0.25">
      <c r="A26" s="64"/>
      <c r="B26" s="64"/>
      <c r="C26" s="64" t="s">
        <v>31</v>
      </c>
      <c r="D26" s="64"/>
      <c r="E26" s="64"/>
      <c r="F26" s="64"/>
    </row>
  </sheetData>
  <mergeCells count="2">
    <mergeCell ref="B25:F25"/>
    <mergeCell ref="D9:F9"/>
  </mergeCells>
  <conditionalFormatting sqref="D9:F9">
    <cfRule type="expression" dxfId="2" priority="1">
      <formula>$C$9="ja"</formula>
    </cfRule>
  </conditionalFormatting>
  <conditionalFormatting sqref="C9">
    <cfRule type="expression" dxfId="1" priority="2">
      <formula>AND(#REF!=0,#REF!=1)</formula>
    </cfRule>
  </conditionalFormatting>
  <dataValidations count="1">
    <dataValidation type="decimal" allowBlank="1" showInputMessage="1" showErrorMessage="1" errorTitle="wtf:" error="De wtf dient te liggen op of tussen 0,0001 en 1,2000." sqref="C5">
      <formula1>0</formula1>
      <formula2>1.2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3B0C788-D62D-41DC-9812-BEE670D9CD92}">
            <xm:f>AND('percentages ed'!$H$11=0,'percentages ed'!$H$6=1)</xm:f>
            <x14:dxf>
              <font>
                <b/>
                <i val="0"/>
                <color rgb="FFFF0000"/>
              </font>
            </x14:dxf>
          </x14:cfRule>
          <xm:sqref>C8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'percentages ed'!$F$3:$F$4</xm:f>
          </x14:formula1>
          <xm:sqref>C8:C9</xm:sqref>
        </x14:dataValidation>
        <x14:dataValidation type="list" allowBlank="1" showInputMessage="1" showErrorMessage="1">
          <x14:formula1>
            <xm:f>'percentages ed'!$J$3:$J$37</xm:f>
          </x14:formula1>
          <xm:sqref>C3</xm:sqref>
        </x14:dataValidation>
        <x14:dataValidation type="list" allowBlank="1" showInputMessage="1" showErrorMessage="1">
          <x14:formula1>
            <xm:f>INDIRECT('percentages ed'!I2)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0"/>
  <sheetViews>
    <sheetView workbookViewId="0">
      <selection activeCell="E36" sqref="E36"/>
    </sheetView>
  </sheetViews>
  <sheetFormatPr defaultRowHeight="15" x14ac:dyDescent="0.25"/>
  <cols>
    <col min="1" max="1" width="46.28515625" bestFit="1" customWidth="1"/>
    <col min="2" max="2" width="26.7109375" bestFit="1" customWidth="1"/>
    <col min="3" max="3" width="10.5703125" bestFit="1" customWidth="1"/>
    <col min="4" max="4" width="11.85546875" bestFit="1" customWidth="1"/>
    <col min="5" max="5" width="9.5703125" bestFit="1" customWidth="1"/>
    <col min="6" max="6" width="51.7109375" customWidth="1"/>
    <col min="7" max="7" width="14.28515625" customWidth="1"/>
    <col min="9" max="9" width="15.42578125" bestFit="1" customWidth="1"/>
  </cols>
  <sheetData>
    <row r="2" spans="1:45" x14ac:dyDescent="0.25">
      <c r="F2" s="84"/>
      <c r="G2" s="84"/>
      <c r="H2" s="95"/>
      <c r="I2" s="55" t="str">
        <f>'Loonkosten PO'!C3</f>
        <v>LB</v>
      </c>
      <c r="J2" s="56" t="s">
        <v>4</v>
      </c>
      <c r="K2" s="56" t="s">
        <v>186</v>
      </c>
      <c r="L2" s="56" t="s">
        <v>187</v>
      </c>
      <c r="M2" s="56" t="s">
        <v>188</v>
      </c>
      <c r="N2" s="56" t="s">
        <v>189</v>
      </c>
      <c r="O2" s="56" t="s">
        <v>194</v>
      </c>
      <c r="P2" s="56" t="s">
        <v>195</v>
      </c>
      <c r="Q2" s="56" t="s">
        <v>196</v>
      </c>
      <c r="R2" s="56" t="s">
        <v>197</v>
      </c>
      <c r="S2" s="56" t="s">
        <v>198</v>
      </c>
      <c r="T2" s="57" t="s">
        <v>43</v>
      </c>
      <c r="U2" s="57" t="s">
        <v>44</v>
      </c>
      <c r="V2" s="57" t="s">
        <v>45</v>
      </c>
      <c r="W2" s="56" t="s">
        <v>226</v>
      </c>
      <c r="X2" s="56" t="s">
        <v>227</v>
      </c>
      <c r="Y2" s="56" t="s">
        <v>228</v>
      </c>
      <c r="Z2" s="56" t="s">
        <v>229</v>
      </c>
      <c r="AA2" s="57" t="s">
        <v>46</v>
      </c>
      <c r="AB2" s="57" t="s">
        <v>47</v>
      </c>
      <c r="AC2" s="52" t="s">
        <v>85</v>
      </c>
      <c r="AD2" s="57" t="s">
        <v>48</v>
      </c>
      <c r="AE2" s="57" t="s">
        <v>56</v>
      </c>
      <c r="AF2" s="57" t="s">
        <v>57</v>
      </c>
      <c r="AG2" s="57" t="s">
        <v>58</v>
      </c>
      <c r="AH2" s="57" t="s">
        <v>59</v>
      </c>
      <c r="AI2" s="57" t="s">
        <v>60</v>
      </c>
      <c r="AJ2" s="57" t="s">
        <v>61</v>
      </c>
      <c r="AK2" s="57" t="s">
        <v>62</v>
      </c>
      <c r="AL2" s="57" t="s">
        <v>64</v>
      </c>
      <c r="AM2" s="57" t="s">
        <v>49</v>
      </c>
      <c r="AN2" s="57" t="s">
        <v>50</v>
      </c>
      <c r="AO2" s="57" t="s">
        <v>51</v>
      </c>
      <c r="AP2" s="57" t="s">
        <v>52</v>
      </c>
      <c r="AQ2" s="57" t="s">
        <v>53</v>
      </c>
      <c r="AR2" s="57" t="s">
        <v>54</v>
      </c>
      <c r="AS2" s="57" t="s">
        <v>55</v>
      </c>
    </row>
    <row r="3" spans="1:45" x14ac:dyDescent="0.25">
      <c r="A3" s="5">
        <v>44562</v>
      </c>
      <c r="B3" s="6" t="s">
        <v>2</v>
      </c>
      <c r="C3" s="7"/>
      <c r="D3" s="7"/>
      <c r="E3" s="7"/>
      <c r="F3" s="87" t="s">
        <v>132</v>
      </c>
      <c r="G3" s="84"/>
      <c r="H3" s="95"/>
      <c r="I3" s="94" t="s">
        <v>182</v>
      </c>
      <c r="J3" s="56" t="s">
        <v>186</v>
      </c>
      <c r="K3" s="98">
        <v>1</v>
      </c>
      <c r="L3" s="98">
        <v>1</v>
      </c>
      <c r="M3" s="98">
        <v>1</v>
      </c>
      <c r="N3" s="98">
        <v>1</v>
      </c>
      <c r="O3" s="98">
        <v>1</v>
      </c>
      <c r="P3" s="98">
        <v>1</v>
      </c>
      <c r="Q3" s="98">
        <v>1</v>
      </c>
      <c r="R3" s="98">
        <v>1</v>
      </c>
      <c r="S3" s="98">
        <v>1</v>
      </c>
      <c r="T3" s="58">
        <v>1</v>
      </c>
      <c r="U3" s="58">
        <v>1</v>
      </c>
      <c r="V3" s="58">
        <v>1</v>
      </c>
      <c r="W3" s="58">
        <v>1</v>
      </c>
      <c r="X3" s="58">
        <v>1</v>
      </c>
      <c r="Y3" s="58">
        <v>1</v>
      </c>
      <c r="Z3" s="58">
        <v>1</v>
      </c>
      <c r="AA3" s="58">
        <v>1</v>
      </c>
      <c r="AB3" s="58">
        <v>1</v>
      </c>
      <c r="AC3" s="58">
        <v>1</v>
      </c>
      <c r="AD3" s="58">
        <v>1</v>
      </c>
      <c r="AE3" s="58">
        <v>1</v>
      </c>
      <c r="AF3" s="58">
        <v>1</v>
      </c>
      <c r="AG3" s="58">
        <v>1</v>
      </c>
      <c r="AH3" s="58">
        <v>1</v>
      </c>
      <c r="AI3" s="58">
        <v>1</v>
      </c>
      <c r="AJ3" s="58">
        <v>1</v>
      </c>
      <c r="AK3" s="58">
        <v>1</v>
      </c>
      <c r="AL3" s="58">
        <v>1</v>
      </c>
      <c r="AM3" s="58">
        <v>1</v>
      </c>
      <c r="AN3" s="58">
        <v>1</v>
      </c>
      <c r="AO3" s="58">
        <v>1</v>
      </c>
      <c r="AP3" s="58">
        <v>1</v>
      </c>
      <c r="AQ3" s="58">
        <v>1</v>
      </c>
      <c r="AR3" s="58">
        <v>1</v>
      </c>
      <c r="AS3" s="58">
        <v>1</v>
      </c>
    </row>
    <row r="4" spans="1:45" x14ac:dyDescent="0.25">
      <c r="A4" s="4" t="s">
        <v>5</v>
      </c>
      <c r="B4" s="7" t="s">
        <v>6</v>
      </c>
      <c r="C4" s="7"/>
      <c r="D4" s="7"/>
      <c r="E4" s="7" t="s">
        <v>7</v>
      </c>
      <c r="F4" s="87" t="s">
        <v>133</v>
      </c>
      <c r="G4" s="84"/>
      <c r="H4" s="95"/>
      <c r="I4" s="94" t="s">
        <v>183</v>
      </c>
      <c r="J4" s="56" t="s">
        <v>187</v>
      </c>
      <c r="K4" s="98">
        <v>2</v>
      </c>
      <c r="L4" s="98">
        <v>2</v>
      </c>
      <c r="M4" s="98">
        <v>2</v>
      </c>
      <c r="N4" s="98">
        <v>2</v>
      </c>
      <c r="O4" s="98">
        <v>2</v>
      </c>
      <c r="P4" s="98">
        <v>2</v>
      </c>
      <c r="Q4" s="98">
        <v>2</v>
      </c>
      <c r="R4" s="98">
        <v>2</v>
      </c>
      <c r="S4" s="98">
        <v>2</v>
      </c>
      <c r="T4" s="58">
        <v>2</v>
      </c>
      <c r="U4" s="58">
        <v>2</v>
      </c>
      <c r="V4" s="58">
        <v>2</v>
      </c>
      <c r="W4" s="58">
        <v>2</v>
      </c>
      <c r="X4" s="58">
        <v>2</v>
      </c>
      <c r="Y4" s="58">
        <v>2</v>
      </c>
      <c r="Z4" s="58">
        <v>2</v>
      </c>
      <c r="AA4" s="58"/>
      <c r="AB4" s="58"/>
      <c r="AC4" s="58">
        <v>2</v>
      </c>
      <c r="AD4" s="58">
        <v>2</v>
      </c>
      <c r="AE4" s="58">
        <v>2</v>
      </c>
      <c r="AF4" s="58">
        <v>2</v>
      </c>
      <c r="AG4" s="58">
        <v>2</v>
      </c>
      <c r="AH4" s="58">
        <v>2</v>
      </c>
      <c r="AI4" s="58">
        <v>2</v>
      </c>
      <c r="AJ4" s="58">
        <v>2</v>
      </c>
      <c r="AK4" s="58">
        <v>2</v>
      </c>
      <c r="AL4" s="58">
        <v>2</v>
      </c>
      <c r="AM4" s="58">
        <v>2</v>
      </c>
      <c r="AN4" s="58">
        <v>2</v>
      </c>
      <c r="AO4" s="58">
        <v>2</v>
      </c>
      <c r="AP4" s="58">
        <v>2</v>
      </c>
      <c r="AQ4" s="58">
        <v>2</v>
      </c>
      <c r="AR4" s="58">
        <v>2</v>
      </c>
      <c r="AS4" s="58">
        <v>2</v>
      </c>
    </row>
    <row r="5" spans="1:45" x14ac:dyDescent="0.25">
      <c r="A5" s="4"/>
      <c r="B5" s="12"/>
      <c r="C5" s="10"/>
      <c r="D5" s="11"/>
      <c r="E5" s="10"/>
      <c r="F5" s="84"/>
      <c r="G5" s="84"/>
      <c r="H5" s="95"/>
      <c r="I5" s="94" t="s">
        <v>184</v>
      </c>
      <c r="J5" s="56" t="s">
        <v>188</v>
      </c>
      <c r="K5" s="98">
        <v>3</v>
      </c>
      <c r="L5" s="98">
        <v>3</v>
      </c>
      <c r="M5" s="98">
        <v>3</v>
      </c>
      <c r="N5" s="98">
        <v>3</v>
      </c>
      <c r="O5" s="98">
        <v>3</v>
      </c>
      <c r="P5" s="98">
        <v>3</v>
      </c>
      <c r="Q5" s="98">
        <v>3</v>
      </c>
      <c r="R5" s="98">
        <v>3</v>
      </c>
      <c r="S5" s="98">
        <v>3</v>
      </c>
      <c r="T5" s="58">
        <v>3</v>
      </c>
      <c r="U5" s="58">
        <v>3</v>
      </c>
      <c r="V5" s="58">
        <v>3</v>
      </c>
      <c r="W5" s="58">
        <v>3</v>
      </c>
      <c r="X5" s="58">
        <v>3</v>
      </c>
      <c r="Y5" s="58">
        <v>3</v>
      </c>
      <c r="Z5" s="58">
        <v>3</v>
      </c>
      <c r="AA5" s="58"/>
      <c r="AB5" s="58"/>
      <c r="AC5" s="58">
        <v>3</v>
      </c>
      <c r="AD5" s="58">
        <v>3</v>
      </c>
      <c r="AE5" s="58">
        <v>3</v>
      </c>
      <c r="AF5" s="58">
        <v>3</v>
      </c>
      <c r="AG5" s="58">
        <v>3</v>
      </c>
      <c r="AH5" s="58">
        <v>3</v>
      </c>
      <c r="AI5" s="58">
        <v>3</v>
      </c>
      <c r="AJ5" s="58">
        <v>3</v>
      </c>
      <c r="AK5" s="58">
        <v>3</v>
      </c>
      <c r="AL5" s="58">
        <v>3</v>
      </c>
      <c r="AM5" s="58">
        <v>3</v>
      </c>
      <c r="AN5" s="58">
        <v>3</v>
      </c>
      <c r="AO5" s="58">
        <v>3</v>
      </c>
      <c r="AP5" s="58">
        <v>3</v>
      </c>
      <c r="AQ5" s="58">
        <v>3</v>
      </c>
      <c r="AR5" s="58">
        <v>3</v>
      </c>
      <c r="AS5" s="58">
        <v>3</v>
      </c>
    </row>
    <row r="6" spans="1:45" x14ac:dyDescent="0.25">
      <c r="A6" s="14" t="s">
        <v>9</v>
      </c>
      <c r="B6" s="7"/>
      <c r="C6" s="15">
        <f>12*'Loonkosten PO'!C11</f>
        <v>22506</v>
      </c>
      <c r="D6" s="2"/>
      <c r="E6" s="2" t="s">
        <v>0</v>
      </c>
      <c r="F6" s="84" t="s">
        <v>134</v>
      </c>
      <c r="G6" s="84" t="s">
        <v>132</v>
      </c>
      <c r="H6" s="85">
        <f>IF('Loonkosten PO'!C8="ja",1,0)</f>
        <v>0</v>
      </c>
      <c r="I6" s="94" t="s">
        <v>185</v>
      </c>
      <c r="J6" s="56" t="s">
        <v>189</v>
      </c>
      <c r="K6" s="98">
        <v>4</v>
      </c>
      <c r="L6" s="98">
        <v>4</v>
      </c>
      <c r="M6" s="98">
        <v>4</v>
      </c>
      <c r="N6" s="98">
        <v>4</v>
      </c>
      <c r="O6" s="98">
        <v>4</v>
      </c>
      <c r="P6" s="98">
        <v>4</v>
      </c>
      <c r="Q6" s="98">
        <v>4</v>
      </c>
      <c r="R6" s="98">
        <v>4</v>
      </c>
      <c r="S6" s="98">
        <v>4</v>
      </c>
      <c r="T6" s="58">
        <v>4</v>
      </c>
      <c r="U6" s="58">
        <v>4</v>
      </c>
      <c r="V6" s="58">
        <v>4</v>
      </c>
      <c r="W6" s="58">
        <v>4</v>
      </c>
      <c r="X6" s="58">
        <v>4</v>
      </c>
      <c r="Y6" s="58">
        <v>4</v>
      </c>
      <c r="Z6" s="58">
        <v>4</v>
      </c>
      <c r="AA6" s="58"/>
      <c r="AB6" s="58"/>
      <c r="AC6" s="58">
        <v>4</v>
      </c>
      <c r="AD6" s="58">
        <v>4</v>
      </c>
      <c r="AE6" s="58">
        <v>4</v>
      </c>
      <c r="AF6" s="58">
        <v>4</v>
      </c>
      <c r="AG6" s="58">
        <v>4</v>
      </c>
      <c r="AH6" s="58">
        <v>4</v>
      </c>
      <c r="AI6" s="58">
        <v>4</v>
      </c>
      <c r="AJ6" s="58">
        <v>4</v>
      </c>
      <c r="AK6" s="58">
        <v>4</v>
      </c>
      <c r="AL6" s="58">
        <v>4</v>
      </c>
      <c r="AM6" s="58">
        <v>4</v>
      </c>
      <c r="AN6" s="58">
        <v>4</v>
      </c>
      <c r="AO6" s="58">
        <v>4</v>
      </c>
      <c r="AP6" s="58">
        <v>4</v>
      </c>
      <c r="AQ6" s="58">
        <v>4</v>
      </c>
      <c r="AR6" s="58">
        <v>4</v>
      </c>
      <c r="AS6" s="58">
        <v>4</v>
      </c>
    </row>
    <row r="7" spans="1:45" x14ac:dyDescent="0.25">
      <c r="A7" s="14" t="s">
        <v>230</v>
      </c>
      <c r="B7" s="99">
        <v>275</v>
      </c>
      <c r="C7" s="15">
        <f>IF(F14=1,B7,0)*'Loonkosten PO'!C5</f>
        <v>0</v>
      </c>
      <c r="D7" s="2"/>
      <c r="E7" s="2"/>
      <c r="F7" s="119" t="s">
        <v>239</v>
      </c>
      <c r="G7" s="86">
        <v>34.06</v>
      </c>
      <c r="H7" s="85">
        <f>IF(AND(F12="L_1015",H6=1),G7,0)</f>
        <v>0</v>
      </c>
      <c r="I7" s="109" t="s">
        <v>177</v>
      </c>
      <c r="J7" s="110" t="s">
        <v>194</v>
      </c>
      <c r="K7" s="98">
        <v>5</v>
      </c>
      <c r="L7" s="98">
        <v>5</v>
      </c>
      <c r="M7" s="98">
        <v>5</v>
      </c>
      <c r="N7" s="98">
        <v>5</v>
      </c>
      <c r="O7" s="98">
        <v>5</v>
      </c>
      <c r="P7" s="98">
        <v>5</v>
      </c>
      <c r="Q7" s="98">
        <v>5</v>
      </c>
      <c r="R7" s="98">
        <v>5</v>
      </c>
      <c r="S7" s="98">
        <v>5</v>
      </c>
      <c r="T7" s="58">
        <v>5</v>
      </c>
      <c r="U7" s="58">
        <v>5</v>
      </c>
      <c r="V7" s="58">
        <v>5</v>
      </c>
      <c r="W7" s="58">
        <v>5</v>
      </c>
      <c r="X7" s="58">
        <v>5</v>
      </c>
      <c r="Y7" s="58">
        <v>5</v>
      </c>
      <c r="Z7" s="58">
        <v>5</v>
      </c>
      <c r="AA7" s="58"/>
      <c r="AB7" s="58"/>
      <c r="AC7" s="58"/>
      <c r="AD7" s="58">
        <v>5</v>
      </c>
      <c r="AE7" s="58">
        <v>5</v>
      </c>
      <c r="AF7" s="58">
        <v>5</v>
      </c>
      <c r="AG7" s="58">
        <v>5</v>
      </c>
      <c r="AH7" s="58">
        <v>5</v>
      </c>
      <c r="AI7" s="58">
        <v>5</v>
      </c>
      <c r="AJ7" s="58">
        <v>5</v>
      </c>
      <c r="AK7" s="58">
        <v>5</v>
      </c>
      <c r="AL7" s="58">
        <v>5</v>
      </c>
      <c r="AM7" s="58">
        <v>5</v>
      </c>
      <c r="AN7" s="58">
        <v>5</v>
      </c>
      <c r="AO7" s="58">
        <v>5</v>
      </c>
      <c r="AP7" s="58">
        <v>5</v>
      </c>
      <c r="AQ7" s="58">
        <v>5</v>
      </c>
      <c r="AR7" s="58">
        <v>5</v>
      </c>
      <c r="AS7" s="58">
        <v>5</v>
      </c>
    </row>
    <row r="8" spans="1:45" x14ac:dyDescent="0.25">
      <c r="A8" s="16" t="s">
        <v>10</v>
      </c>
      <c r="B8" s="7"/>
      <c r="C8" s="7"/>
      <c r="D8" s="17">
        <f>'Loonkosten PO'!C6*'Loonkosten PO'!C11/'Loonkosten PO'!C5*12*IF(OR('Loonkosten PO'!C3="Schaal_1",'Loonkosten PO'!C3="Schaal_2",'Loonkosten PO'!C3="Schaal_3",'Loonkosten PO'!C3="Schaal_4",'Loonkosten PO'!C3="Schaal_5",'Loonkosten PO'!C3="Schaal_6",'Loonkosten PO'!C3="Schaal_7",'Loonkosten PO'!C3="Schaal_8",'Loonkosten PO'!C3="Participatiebaan",'Loonkosten PO'!C3="IDnr1",'Loonkosten PO'!C3="IDnr2",'Loonkosten PO'!C3="IDnr3"),0.4,0.5)</f>
        <v>0</v>
      </c>
      <c r="E8" s="2"/>
      <c r="F8" s="119" t="s">
        <v>240</v>
      </c>
      <c r="G8" s="86">
        <v>29.88</v>
      </c>
      <c r="H8" s="85">
        <f>IF(AND(F12="L_1115",H6=1),G8,0)</f>
        <v>0</v>
      </c>
      <c r="I8" s="109" t="s">
        <v>178</v>
      </c>
      <c r="J8" s="110" t="s">
        <v>195</v>
      </c>
      <c r="K8" s="98">
        <v>6</v>
      </c>
      <c r="L8" s="98">
        <v>6</v>
      </c>
      <c r="M8" s="98">
        <v>6</v>
      </c>
      <c r="N8" s="98">
        <v>6</v>
      </c>
      <c r="O8" s="98">
        <v>6</v>
      </c>
      <c r="P8" s="98">
        <v>6</v>
      </c>
      <c r="Q8" s="98">
        <v>6</v>
      </c>
      <c r="R8" s="98">
        <v>6</v>
      </c>
      <c r="S8" s="98">
        <v>6</v>
      </c>
      <c r="T8" s="58">
        <v>6</v>
      </c>
      <c r="U8" s="58">
        <v>6</v>
      </c>
      <c r="V8" s="58">
        <v>6</v>
      </c>
      <c r="W8" s="58">
        <v>6</v>
      </c>
      <c r="X8" s="58">
        <v>6</v>
      </c>
      <c r="Y8" s="58">
        <v>6</v>
      </c>
      <c r="Z8" s="58">
        <v>6</v>
      </c>
      <c r="AA8" s="58"/>
      <c r="AB8" s="58"/>
      <c r="AC8" s="58"/>
      <c r="AD8" s="58">
        <v>6</v>
      </c>
      <c r="AE8" s="58">
        <v>6</v>
      </c>
      <c r="AF8" s="58">
        <v>6</v>
      </c>
      <c r="AG8" s="58">
        <v>6</v>
      </c>
      <c r="AH8" s="58">
        <v>6</v>
      </c>
      <c r="AI8" s="58">
        <v>6</v>
      </c>
      <c r="AJ8" s="58">
        <v>6</v>
      </c>
      <c r="AK8" s="58">
        <v>6</v>
      </c>
      <c r="AL8" s="58">
        <v>6</v>
      </c>
      <c r="AM8" s="58">
        <v>6</v>
      </c>
      <c r="AN8" s="58">
        <v>6</v>
      </c>
      <c r="AO8" s="58">
        <v>6</v>
      </c>
      <c r="AP8" s="58">
        <v>6</v>
      </c>
      <c r="AQ8" s="58">
        <v>6</v>
      </c>
      <c r="AR8" s="58">
        <v>6</v>
      </c>
      <c r="AS8" s="58">
        <v>6</v>
      </c>
    </row>
    <row r="9" spans="1:45" x14ac:dyDescent="0.25">
      <c r="A9" s="7" t="s">
        <v>12</v>
      </c>
      <c r="B9" s="105">
        <v>0.08</v>
      </c>
      <c r="C9" s="10">
        <f>C6*B9</f>
        <v>1800.48</v>
      </c>
      <c r="D9" s="7"/>
      <c r="E9" s="10"/>
      <c r="F9" s="119" t="s">
        <v>241</v>
      </c>
      <c r="G9" s="86">
        <v>54.41</v>
      </c>
      <c r="H9" s="85">
        <f>IF(AND(F12="L_1215",H6=1),G9,0)</f>
        <v>0</v>
      </c>
      <c r="I9" s="109" t="s">
        <v>179</v>
      </c>
      <c r="J9" s="110" t="s">
        <v>196</v>
      </c>
      <c r="K9" s="98">
        <v>7</v>
      </c>
      <c r="L9" s="98">
        <v>7</v>
      </c>
      <c r="M9" s="98">
        <v>7</v>
      </c>
      <c r="N9" s="98">
        <v>7</v>
      </c>
      <c r="O9" s="98">
        <v>7</v>
      </c>
      <c r="P9" s="98">
        <v>7</v>
      </c>
      <c r="Q9" s="98">
        <v>7</v>
      </c>
      <c r="R9" s="98">
        <v>7</v>
      </c>
      <c r="S9" s="98">
        <v>7</v>
      </c>
      <c r="T9" s="58">
        <v>7</v>
      </c>
      <c r="U9" s="58">
        <v>7</v>
      </c>
      <c r="V9" s="58">
        <v>7</v>
      </c>
      <c r="W9" s="58">
        <v>7</v>
      </c>
      <c r="X9" s="58">
        <v>7</v>
      </c>
      <c r="Y9" s="58">
        <v>7</v>
      </c>
      <c r="Z9" s="58">
        <v>7</v>
      </c>
      <c r="AA9" s="58"/>
      <c r="AB9" s="58"/>
      <c r="AC9" s="58"/>
      <c r="AD9" s="58">
        <v>7</v>
      </c>
      <c r="AE9" s="58">
        <v>7</v>
      </c>
      <c r="AF9" s="58">
        <v>7</v>
      </c>
      <c r="AG9" s="58">
        <v>7</v>
      </c>
      <c r="AH9" s="58">
        <v>7</v>
      </c>
      <c r="AI9" s="58">
        <v>7</v>
      </c>
      <c r="AJ9" s="58">
        <v>7</v>
      </c>
      <c r="AK9" s="58">
        <v>7</v>
      </c>
      <c r="AL9" s="58">
        <v>7</v>
      </c>
      <c r="AM9" s="58">
        <v>7</v>
      </c>
      <c r="AN9" s="58">
        <v>7</v>
      </c>
      <c r="AO9" s="58">
        <v>7</v>
      </c>
      <c r="AP9" s="58">
        <v>7</v>
      </c>
      <c r="AQ9" s="58">
        <v>7</v>
      </c>
      <c r="AR9" s="58">
        <v>7</v>
      </c>
      <c r="AS9" s="58">
        <v>7</v>
      </c>
    </row>
    <row r="10" spans="1:45" x14ac:dyDescent="0.25">
      <c r="A10" s="7" t="s">
        <v>13</v>
      </c>
      <c r="B10" s="106">
        <v>8.3299999999999999E-2</v>
      </c>
      <c r="C10" s="10">
        <f>C6*B10</f>
        <v>1874.7498000000001</v>
      </c>
      <c r="D10" s="7"/>
      <c r="E10" s="10"/>
      <c r="F10" s="119" t="s">
        <v>242</v>
      </c>
      <c r="G10" s="86">
        <v>26.91</v>
      </c>
      <c r="H10" s="85">
        <f>IF(AND(F12="L_1315",H6=1),G10,0)</f>
        <v>0</v>
      </c>
      <c r="I10" s="109" t="s">
        <v>180</v>
      </c>
      <c r="J10" s="110" t="s">
        <v>197</v>
      </c>
      <c r="K10" s="98">
        <v>8</v>
      </c>
      <c r="L10" s="98">
        <v>8</v>
      </c>
      <c r="M10" s="98">
        <v>8</v>
      </c>
      <c r="N10" s="98">
        <v>8</v>
      </c>
      <c r="O10" s="98">
        <v>8</v>
      </c>
      <c r="P10" s="98">
        <v>8</v>
      </c>
      <c r="Q10" s="98">
        <v>8</v>
      </c>
      <c r="R10" s="98">
        <v>8</v>
      </c>
      <c r="S10" s="98">
        <v>8</v>
      </c>
      <c r="T10" s="58">
        <v>8</v>
      </c>
      <c r="U10" s="58">
        <v>8</v>
      </c>
      <c r="V10" s="98">
        <v>8</v>
      </c>
      <c r="W10" s="58">
        <v>8</v>
      </c>
      <c r="X10" s="58">
        <v>8</v>
      </c>
      <c r="Y10" s="58">
        <v>8</v>
      </c>
      <c r="Z10" s="58">
        <v>8</v>
      </c>
      <c r="AA10" s="58"/>
      <c r="AB10" s="58"/>
      <c r="AC10" s="58"/>
      <c r="AD10" s="58"/>
      <c r="AE10" s="58">
        <v>8</v>
      </c>
      <c r="AF10" s="58">
        <v>8</v>
      </c>
      <c r="AG10" s="58">
        <v>8</v>
      </c>
      <c r="AH10" s="58">
        <v>8</v>
      </c>
      <c r="AI10" s="58">
        <v>8</v>
      </c>
      <c r="AJ10" s="58">
        <v>8</v>
      </c>
      <c r="AK10" s="58">
        <v>8</v>
      </c>
      <c r="AL10" s="58">
        <v>8</v>
      </c>
      <c r="AM10" s="58">
        <v>8</v>
      </c>
      <c r="AN10" s="58">
        <v>8</v>
      </c>
      <c r="AO10" s="58">
        <v>8</v>
      </c>
      <c r="AP10" s="58">
        <v>8</v>
      </c>
      <c r="AQ10" s="58">
        <v>8</v>
      </c>
      <c r="AR10" s="58">
        <v>8</v>
      </c>
      <c r="AS10" s="58">
        <v>8</v>
      </c>
    </row>
    <row r="11" spans="1:45" x14ac:dyDescent="0.25">
      <c r="A11" s="7" t="s">
        <v>15</v>
      </c>
      <c r="B11" s="100">
        <v>1200</v>
      </c>
      <c r="C11" s="10">
        <f>IF(OR('Loonkosten PO'!C3="Schaal_1",'Loonkosten PO'!C3="Schaal_2",'Loonkosten PO'!C3="Schaal_3",'Loonkosten PO'!C3="Schaal_4",'Loonkosten PO'!C3="Schaal_5"),B11*'Loonkosten PO'!C5,IF('Loonkosten PO'!C3="IDnr1",B11*'Loonkosten PO'!C5,IF('Loonkosten PO'!C3="IDnr2",B11*'Loonkosten PO'!C5,IF('Loonkosten PO'!C3="IDnr3",B11*'Loonkosten PO'!C5,IF('Loonkosten PO'!C3="Participatiebaan",B11*'Loonkosten PO'!C5,0)))))</f>
        <v>0</v>
      </c>
      <c r="D11" s="7"/>
      <c r="E11" s="10"/>
      <c r="F11" s="87" t="s">
        <v>134</v>
      </c>
      <c r="G11" s="84"/>
      <c r="H11" s="88">
        <f>SUM(H7:H10)</f>
        <v>0</v>
      </c>
      <c r="I11" s="109" t="s">
        <v>181</v>
      </c>
      <c r="J11" s="110" t="s">
        <v>198</v>
      </c>
      <c r="K11" s="98">
        <v>9</v>
      </c>
      <c r="L11" s="98">
        <v>9</v>
      </c>
      <c r="M11" s="98">
        <v>9</v>
      </c>
      <c r="N11" s="98">
        <v>9</v>
      </c>
      <c r="O11" s="98">
        <v>9</v>
      </c>
      <c r="P11" s="98">
        <v>9</v>
      </c>
      <c r="Q11" s="98">
        <v>9</v>
      </c>
      <c r="R11" s="98">
        <v>9</v>
      </c>
      <c r="S11" s="98">
        <v>9</v>
      </c>
      <c r="T11" s="58">
        <v>9</v>
      </c>
      <c r="U11" s="58"/>
      <c r="V11" s="98">
        <v>9</v>
      </c>
      <c r="W11" s="58">
        <v>9</v>
      </c>
      <c r="X11" s="58">
        <v>9</v>
      </c>
      <c r="Y11" s="58">
        <v>9</v>
      </c>
      <c r="Z11" s="58">
        <v>9</v>
      </c>
      <c r="AA11" s="58"/>
      <c r="AB11" s="58"/>
      <c r="AC11" s="58"/>
      <c r="AD11" s="58"/>
      <c r="AE11" s="58"/>
      <c r="AF11" s="58">
        <v>9</v>
      </c>
      <c r="AG11" s="58">
        <v>9</v>
      </c>
      <c r="AH11" s="58">
        <v>9</v>
      </c>
      <c r="AI11" s="58">
        <v>9</v>
      </c>
      <c r="AJ11" s="58">
        <v>9</v>
      </c>
      <c r="AK11" s="58">
        <v>9</v>
      </c>
      <c r="AL11" s="58">
        <v>9</v>
      </c>
      <c r="AM11" s="58">
        <v>9</v>
      </c>
      <c r="AN11" s="58">
        <v>9</v>
      </c>
      <c r="AO11" s="58">
        <v>9</v>
      </c>
      <c r="AP11" s="58">
        <v>9</v>
      </c>
      <c r="AQ11" s="58">
        <v>9</v>
      </c>
      <c r="AR11" s="58">
        <v>9</v>
      </c>
      <c r="AS11" s="58">
        <v>9</v>
      </c>
    </row>
    <row r="12" spans="1:45" x14ac:dyDescent="0.25">
      <c r="A12" s="7" t="s">
        <v>16</v>
      </c>
      <c r="B12" s="100">
        <v>1200</v>
      </c>
      <c r="C12" s="10">
        <f>IF(OR('Loonkosten PO'!C3="Schaal_6",'Loonkosten PO'!C3="Schaal_7",'Loonkosten PO'!C3="Schaal_8"),B12*'Loonkosten PO'!C5,0)</f>
        <v>0</v>
      </c>
      <c r="D12" s="7"/>
      <c r="E12" s="10"/>
      <c r="F12" s="82" t="str">
        <f>'Loonkosten PO'!C3&amp;'Loonkosten PO'!C4</f>
        <v>LB9</v>
      </c>
      <c r="G12" s="58"/>
      <c r="H12" s="58"/>
      <c r="I12" s="59" t="s">
        <v>65</v>
      </c>
      <c r="J12" s="57" t="s">
        <v>43</v>
      </c>
      <c r="K12" s="98">
        <v>10</v>
      </c>
      <c r="L12" s="98">
        <v>10</v>
      </c>
      <c r="M12" s="98">
        <v>10</v>
      </c>
      <c r="N12" s="98">
        <v>10</v>
      </c>
      <c r="O12" s="98">
        <v>10</v>
      </c>
      <c r="P12" s="98">
        <v>10</v>
      </c>
      <c r="Q12" s="98">
        <v>10</v>
      </c>
      <c r="R12" s="98">
        <v>10</v>
      </c>
      <c r="S12" s="98">
        <v>10</v>
      </c>
      <c r="T12" s="58"/>
      <c r="U12" s="58"/>
      <c r="V12" s="58"/>
      <c r="W12" s="58">
        <v>10</v>
      </c>
      <c r="X12" s="58">
        <v>10</v>
      </c>
      <c r="Y12" s="58">
        <v>10</v>
      </c>
      <c r="Z12" s="58">
        <v>10</v>
      </c>
      <c r="AA12" s="58"/>
      <c r="AB12" s="58"/>
      <c r="AC12" s="58"/>
      <c r="AD12" s="58"/>
      <c r="AE12" s="58"/>
      <c r="AF12" s="58"/>
      <c r="AG12" s="58">
        <v>10</v>
      </c>
      <c r="AH12" s="58">
        <v>10</v>
      </c>
      <c r="AI12" s="58">
        <v>10</v>
      </c>
      <c r="AJ12" s="58">
        <v>10</v>
      </c>
      <c r="AK12" s="58">
        <v>10</v>
      </c>
      <c r="AL12" s="58">
        <v>10</v>
      </c>
      <c r="AM12" s="58">
        <v>10</v>
      </c>
      <c r="AN12" s="58">
        <v>10</v>
      </c>
      <c r="AO12" s="58">
        <v>10</v>
      </c>
      <c r="AP12" s="58">
        <v>10</v>
      </c>
      <c r="AQ12" s="58">
        <v>10</v>
      </c>
      <c r="AR12" s="58">
        <v>10</v>
      </c>
      <c r="AS12" s="58">
        <v>10</v>
      </c>
    </row>
    <row r="13" spans="1:45" x14ac:dyDescent="0.25">
      <c r="A13" s="7" t="s">
        <v>231</v>
      </c>
      <c r="B13" s="7"/>
      <c r="C13" s="10">
        <f>IF(F22="A_10",G15,IF(F22="A_11",G15,IF(F22="A_12",G16,IF(F22="D_11",G17,IF(F22="D_12",G17,IF(F22="D_13",G18,0))))))*'Loonkosten PO'!C5</f>
        <v>0</v>
      </c>
      <c r="D13" s="7"/>
      <c r="E13" s="10"/>
      <c r="F13" s="58" t="str">
        <f>LEFT(F12,3)</f>
        <v>LB9</v>
      </c>
      <c r="G13" s="58"/>
      <c r="H13" s="96"/>
      <c r="I13" s="59" t="s">
        <v>66</v>
      </c>
      <c r="J13" s="57" t="s">
        <v>44</v>
      </c>
      <c r="K13" s="98">
        <v>11</v>
      </c>
      <c r="L13" s="98">
        <v>11</v>
      </c>
      <c r="M13" s="98">
        <v>11</v>
      </c>
      <c r="N13" s="98">
        <v>11</v>
      </c>
      <c r="O13" s="98">
        <v>11</v>
      </c>
      <c r="P13" s="98">
        <v>11</v>
      </c>
      <c r="Q13" s="98">
        <v>11</v>
      </c>
      <c r="R13" s="98">
        <v>11</v>
      </c>
      <c r="S13" s="98">
        <v>11</v>
      </c>
      <c r="T13" s="58"/>
      <c r="U13" s="58"/>
      <c r="V13" s="58"/>
      <c r="W13" s="58">
        <v>11</v>
      </c>
      <c r="X13" s="58">
        <v>11</v>
      </c>
      <c r="Y13" s="58">
        <v>11</v>
      </c>
      <c r="Z13" s="58">
        <v>11</v>
      </c>
      <c r="AA13" s="58"/>
      <c r="AB13" s="58"/>
      <c r="AC13" s="58"/>
      <c r="AD13" s="58"/>
      <c r="AE13" s="58"/>
      <c r="AF13" s="58"/>
      <c r="AG13" s="58">
        <v>11</v>
      </c>
      <c r="AH13" s="58">
        <v>11</v>
      </c>
      <c r="AI13" s="58">
        <v>11</v>
      </c>
      <c r="AJ13" s="58">
        <v>11</v>
      </c>
      <c r="AK13" s="58">
        <v>11</v>
      </c>
      <c r="AL13" s="58"/>
      <c r="AM13" s="58">
        <v>11</v>
      </c>
      <c r="AN13" s="58">
        <v>11</v>
      </c>
      <c r="AO13" s="58">
        <v>11</v>
      </c>
      <c r="AP13" s="58">
        <v>11</v>
      </c>
      <c r="AQ13" s="58">
        <v>11</v>
      </c>
      <c r="AR13" s="58">
        <v>11</v>
      </c>
      <c r="AS13" s="58">
        <v>11</v>
      </c>
    </row>
    <row r="14" spans="1:45" x14ac:dyDescent="0.25">
      <c r="A14" s="7" t="s">
        <v>232</v>
      </c>
      <c r="B14" s="7"/>
      <c r="C14" s="10">
        <f>F25*'Loonkosten PO'!C5</f>
        <v>0</v>
      </c>
      <c r="D14" s="7"/>
      <c r="E14" s="10"/>
      <c r="F14" s="98">
        <f>IF(F13="IDn",1,IF(F13="Sch",1,IF(F13="Par",1,0)))</f>
        <v>0</v>
      </c>
      <c r="G14" s="58"/>
      <c r="H14" s="96"/>
      <c r="I14" s="59" t="s">
        <v>67</v>
      </c>
      <c r="J14" s="57" t="s">
        <v>45</v>
      </c>
      <c r="K14" s="98">
        <v>12</v>
      </c>
      <c r="L14" s="98">
        <v>12</v>
      </c>
      <c r="M14" s="98">
        <v>12</v>
      </c>
      <c r="N14" s="98">
        <v>12</v>
      </c>
      <c r="O14" s="98">
        <v>12</v>
      </c>
      <c r="P14" s="98">
        <v>12</v>
      </c>
      <c r="Q14" s="98">
        <v>12</v>
      </c>
      <c r="R14" s="98"/>
      <c r="S14" s="98">
        <v>12</v>
      </c>
      <c r="T14" s="58"/>
      <c r="U14" s="58"/>
      <c r="V14" s="58"/>
      <c r="W14" s="58">
        <v>12</v>
      </c>
      <c r="X14" s="58">
        <v>12</v>
      </c>
      <c r="Y14" s="58">
        <v>12</v>
      </c>
      <c r="Z14" s="58">
        <v>12</v>
      </c>
      <c r="AA14" s="58"/>
      <c r="AB14" s="58"/>
      <c r="AC14" s="58"/>
      <c r="AD14" s="58"/>
      <c r="AE14" s="58"/>
      <c r="AF14" s="58"/>
      <c r="AG14" s="58"/>
      <c r="AH14" s="58">
        <v>12</v>
      </c>
      <c r="AI14" s="58"/>
      <c r="AJ14" s="58">
        <v>12</v>
      </c>
      <c r="AK14" s="58">
        <v>12</v>
      </c>
      <c r="AL14" s="58"/>
      <c r="AM14" s="58">
        <v>12</v>
      </c>
      <c r="AN14" s="58">
        <v>12</v>
      </c>
      <c r="AO14" s="58">
        <v>12</v>
      </c>
      <c r="AP14" s="58">
        <v>12</v>
      </c>
      <c r="AQ14" s="58"/>
      <c r="AR14" s="58">
        <v>12</v>
      </c>
      <c r="AS14" s="58">
        <v>12</v>
      </c>
    </row>
    <row r="15" spans="1:45" x14ac:dyDescent="0.25">
      <c r="A15" s="7" t="s">
        <v>20</v>
      </c>
      <c r="B15" s="20"/>
      <c r="C15" s="10">
        <f>12*'Loonkosten PO'!C7</f>
        <v>0</v>
      </c>
      <c r="D15" s="11">
        <f>C6+C15</f>
        <v>22506</v>
      </c>
      <c r="E15" s="10"/>
      <c r="F15" s="119" t="s">
        <v>233</v>
      </c>
      <c r="G15" s="99">
        <v>1600</v>
      </c>
      <c r="H15" s="96"/>
      <c r="I15" s="94" t="s">
        <v>145</v>
      </c>
      <c r="J15" s="56" t="s">
        <v>226</v>
      </c>
      <c r="K15" s="98">
        <v>13</v>
      </c>
      <c r="L15" s="98">
        <v>13</v>
      </c>
      <c r="M15" s="98"/>
      <c r="N15" s="98">
        <v>13</v>
      </c>
      <c r="O15" s="98">
        <v>13</v>
      </c>
      <c r="P15" s="98"/>
      <c r="Q15" s="98">
        <v>13</v>
      </c>
      <c r="R15" s="98"/>
      <c r="S15" s="9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>
        <v>13</v>
      </c>
      <c r="AL15" s="58"/>
      <c r="AM15" s="58">
        <v>13</v>
      </c>
      <c r="AN15" s="58">
        <v>13</v>
      </c>
      <c r="AO15" s="58"/>
      <c r="AP15" s="58">
        <v>13</v>
      </c>
      <c r="AQ15" s="58"/>
      <c r="AR15" s="58"/>
      <c r="AS15" s="58"/>
    </row>
    <row r="16" spans="1:45" x14ac:dyDescent="0.25">
      <c r="A16" s="7"/>
      <c r="B16" s="104"/>
      <c r="C16" s="10"/>
      <c r="D16" s="11"/>
      <c r="E16" s="10"/>
      <c r="F16" s="119" t="s">
        <v>234</v>
      </c>
      <c r="G16" s="99">
        <v>800</v>
      </c>
      <c r="H16" s="96"/>
      <c r="I16" s="94" t="s">
        <v>146</v>
      </c>
      <c r="J16" s="56" t="s">
        <v>227</v>
      </c>
      <c r="K16" s="98"/>
      <c r="L16" s="98">
        <v>14</v>
      </c>
      <c r="M16" s="98"/>
      <c r="N16" s="98"/>
      <c r="O16" s="98">
        <v>14</v>
      </c>
      <c r="P16" s="98"/>
      <c r="Q16" s="98"/>
      <c r="R16" s="98"/>
      <c r="S16" s="9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>
        <v>14</v>
      </c>
      <c r="AO16" s="58"/>
      <c r="AP16" s="58"/>
      <c r="AQ16" s="58"/>
      <c r="AR16" s="58"/>
      <c r="AS16" s="58"/>
    </row>
    <row r="17" spans="1:45" x14ac:dyDescent="0.25">
      <c r="A17" s="7" t="s">
        <v>151</v>
      </c>
      <c r="B17" s="7"/>
      <c r="C17" s="11">
        <f>C6+C7+C9+C10+C11+C12+C14+C15</f>
        <v>26181.229800000001</v>
      </c>
      <c r="D17" s="7" t="s">
        <v>0</v>
      </c>
      <c r="E17" s="7"/>
      <c r="F17" s="119" t="s">
        <v>235</v>
      </c>
      <c r="G17" s="99">
        <v>2400</v>
      </c>
      <c r="H17" s="96"/>
      <c r="I17" s="94" t="s">
        <v>147</v>
      </c>
      <c r="J17" s="56" t="s">
        <v>228</v>
      </c>
      <c r="K17" s="98"/>
      <c r="L17" s="98">
        <v>15</v>
      </c>
      <c r="M17" s="98"/>
      <c r="N17" s="98"/>
      <c r="O17" s="98">
        <v>15</v>
      </c>
      <c r="P17" s="98"/>
      <c r="Q17" s="98"/>
      <c r="R17" s="98"/>
      <c r="S17" s="9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>
        <v>15</v>
      </c>
      <c r="AO17" s="58"/>
      <c r="AP17" s="58"/>
      <c r="AQ17" s="58"/>
      <c r="AR17" s="58"/>
      <c r="AS17" s="58"/>
    </row>
    <row r="18" spans="1:45" x14ac:dyDescent="0.25">
      <c r="A18" s="7" t="s">
        <v>21</v>
      </c>
      <c r="B18" s="21">
        <v>14850</v>
      </c>
      <c r="C18" s="22" t="s">
        <v>22</v>
      </c>
      <c r="D18" s="23">
        <f>C17-('Loonkosten PO'!C5*B18)</f>
        <v>18756.229800000001</v>
      </c>
      <c r="E18" s="23"/>
      <c r="F18" s="119" t="s">
        <v>236</v>
      </c>
      <c r="G18" s="99">
        <v>1200</v>
      </c>
      <c r="H18" s="96"/>
      <c r="I18" s="94" t="s">
        <v>148</v>
      </c>
      <c r="J18" s="56" t="s">
        <v>229</v>
      </c>
      <c r="K18" s="98"/>
      <c r="L18" s="98">
        <v>16</v>
      </c>
      <c r="M18" s="98"/>
      <c r="N18" s="98"/>
      <c r="O18" s="98">
        <v>16</v>
      </c>
      <c r="P18" s="98"/>
      <c r="Q18" s="98"/>
      <c r="R18" s="98"/>
      <c r="S18" s="9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>
        <v>16</v>
      </c>
      <c r="AO18" s="58"/>
      <c r="AP18" s="58"/>
      <c r="AQ18" s="58"/>
      <c r="AR18" s="58"/>
      <c r="AS18" s="58"/>
    </row>
    <row r="19" spans="1:45" x14ac:dyDescent="0.25">
      <c r="A19" s="7" t="s">
        <v>23</v>
      </c>
      <c r="B19" s="21">
        <v>22350</v>
      </c>
      <c r="C19" s="22" t="s">
        <v>22</v>
      </c>
      <c r="D19" s="11">
        <f>C17-('Loonkosten PO'!C5*B19)</f>
        <v>15006.229800000001</v>
      </c>
      <c r="E19" s="23"/>
      <c r="F19" s="119" t="s">
        <v>237</v>
      </c>
      <c r="G19" s="99">
        <v>1591.09</v>
      </c>
      <c r="H19" s="96"/>
      <c r="I19" s="60" t="s">
        <v>68</v>
      </c>
      <c r="J19" s="57" t="s">
        <v>46</v>
      </c>
      <c r="K19" s="98"/>
      <c r="L19" s="98"/>
      <c r="M19" s="98"/>
      <c r="N19" s="98"/>
      <c r="O19" s="98"/>
      <c r="P19" s="98"/>
      <c r="Q19" s="98"/>
      <c r="R19" s="98"/>
      <c r="S19" s="9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</row>
    <row r="20" spans="1:45" x14ac:dyDescent="0.25">
      <c r="A20" s="7"/>
      <c r="B20" s="24" t="s">
        <v>24</v>
      </c>
      <c r="C20" s="24" t="s">
        <v>25</v>
      </c>
      <c r="D20" s="24" t="s">
        <v>25</v>
      </c>
      <c r="E20" s="24" t="s">
        <v>24</v>
      </c>
      <c r="F20" s="119" t="s">
        <v>238</v>
      </c>
      <c r="G20" s="99">
        <v>263.94</v>
      </c>
      <c r="H20" s="96"/>
      <c r="I20" s="61" t="s">
        <v>69</v>
      </c>
      <c r="J20" s="57" t="s">
        <v>47</v>
      </c>
      <c r="K20" s="98"/>
      <c r="L20" s="98"/>
      <c r="M20" s="98"/>
      <c r="N20" s="98"/>
      <c r="O20" s="98"/>
      <c r="P20" s="98"/>
      <c r="Q20" s="98"/>
      <c r="R20" s="98"/>
      <c r="S20" s="9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</row>
    <row r="21" spans="1:45" x14ac:dyDescent="0.25">
      <c r="A21" s="16" t="s">
        <v>27</v>
      </c>
      <c r="B21" s="25">
        <v>0.1797</v>
      </c>
      <c r="C21" s="25">
        <v>7.9299999999999995E-2</v>
      </c>
      <c r="D21" s="26">
        <f>D18*C21</f>
        <v>1487.3690231400001</v>
      </c>
      <c r="E21" s="27">
        <f>B21*D18</f>
        <v>3370.4944950600002</v>
      </c>
      <c r="F21" s="119" t="s">
        <v>243</v>
      </c>
      <c r="G21" s="99">
        <v>263.94</v>
      </c>
      <c r="H21" s="96"/>
      <c r="I21" s="62" t="s">
        <v>85</v>
      </c>
      <c r="J21" s="63" t="s">
        <v>85</v>
      </c>
    </row>
    <row r="22" spans="1:45" x14ac:dyDescent="0.25">
      <c r="A22" s="16" t="s">
        <v>28</v>
      </c>
      <c r="B22" s="25">
        <v>0.03</v>
      </c>
      <c r="C22" s="117">
        <v>0</v>
      </c>
      <c r="D22" s="26">
        <f>C17*C22</f>
        <v>0</v>
      </c>
      <c r="E22" s="27">
        <f>B22*C17</f>
        <v>785.43689400000005</v>
      </c>
      <c r="F22" s="58" t="str">
        <f>'Loonkosten PO'!C3</f>
        <v>LB</v>
      </c>
      <c r="G22" s="58"/>
      <c r="H22" s="96"/>
      <c r="I22" s="58" t="s">
        <v>70</v>
      </c>
      <c r="J22" s="57" t="s">
        <v>48</v>
      </c>
    </row>
    <row r="23" spans="1:45" x14ac:dyDescent="0.25">
      <c r="A23" s="28" t="s">
        <v>29</v>
      </c>
      <c r="B23" s="103">
        <v>5.5999999999999999E-3</v>
      </c>
      <c r="C23" s="103">
        <v>2.3999999999999998E-3</v>
      </c>
      <c r="D23" s="26">
        <f>D19*C23</f>
        <v>36.014951519999997</v>
      </c>
      <c r="E23" s="27">
        <f>D19*B23</f>
        <v>84.034886880000002</v>
      </c>
      <c r="F23" s="58">
        <f>'Loonkosten PO'!C4</f>
        <v>9</v>
      </c>
      <c r="G23" s="58"/>
      <c r="H23" s="96"/>
      <c r="I23" s="58" t="s">
        <v>71</v>
      </c>
      <c r="J23" s="57" t="s">
        <v>56</v>
      </c>
    </row>
    <row r="24" spans="1:45" x14ac:dyDescent="0.25">
      <c r="A24" s="7" t="s">
        <v>231</v>
      </c>
      <c r="B24" s="107"/>
      <c r="C24" s="15"/>
      <c r="D24" s="26"/>
      <c r="E24" s="27">
        <f>C13</f>
        <v>0</v>
      </c>
      <c r="F24" s="58" t="str">
        <f>CONCATENATE(F22,F23)</f>
        <v>LB9</v>
      </c>
      <c r="G24" s="58"/>
      <c r="H24" s="96"/>
      <c r="I24" s="58" t="s">
        <v>72</v>
      </c>
      <c r="J24" s="57" t="s">
        <v>57</v>
      </c>
    </row>
    <row r="25" spans="1:45" x14ac:dyDescent="0.25">
      <c r="A25" s="16" t="s">
        <v>30</v>
      </c>
      <c r="B25" s="32">
        <v>59706</v>
      </c>
      <c r="C25" s="15"/>
      <c r="D25" s="2"/>
      <c r="E25" s="30"/>
      <c r="F25" s="98">
        <f>IF(F24="A_1013",G19,IF(F24="A_1116",G19,IF(F24="A_1212",G19,IF(F24="A_1313",G20,IF(F24="D_1116",G19,IF(F24="D_1212",G19,IF(F24="D_1313",G20,IF(F24="D_1411",G20,IF(F24="D_1512",G20,IF(F24="Schaal_910",G21,0))))))))))</f>
        <v>0</v>
      </c>
      <c r="G25" s="58"/>
      <c r="H25" s="96"/>
      <c r="I25" s="58" t="s">
        <v>73</v>
      </c>
      <c r="J25" s="57" t="s">
        <v>58</v>
      </c>
    </row>
    <row r="26" spans="1:45" x14ac:dyDescent="0.25">
      <c r="A26" s="14" t="s">
        <v>32</v>
      </c>
      <c r="B26" s="31">
        <v>6.7500000000000004E-2</v>
      </c>
      <c r="C26" s="15"/>
      <c r="D26" s="26"/>
      <c r="E26" s="27">
        <f>IF(D28&lt;B25,B26*D28,B26*B25)</f>
        <v>1664.4045932104502</v>
      </c>
      <c r="F26" s="58"/>
      <c r="G26" s="58"/>
      <c r="H26" s="96"/>
      <c r="I26" s="58" t="s">
        <v>74</v>
      </c>
      <c r="J26" s="57" t="s">
        <v>59</v>
      </c>
    </row>
    <row r="27" spans="1:45" x14ac:dyDescent="0.25">
      <c r="A27" s="14"/>
      <c r="B27" s="29"/>
      <c r="C27" s="15"/>
      <c r="D27" s="2"/>
      <c r="E27" s="30"/>
      <c r="F27" s="81"/>
      <c r="G27" s="81"/>
      <c r="H27" s="97"/>
      <c r="I27" s="58" t="s">
        <v>75</v>
      </c>
      <c r="J27" s="57" t="s">
        <v>60</v>
      </c>
    </row>
    <row r="28" spans="1:45" x14ac:dyDescent="0.25">
      <c r="A28" s="14" t="s">
        <v>33</v>
      </c>
      <c r="B28" s="29"/>
      <c r="C28" s="15"/>
      <c r="D28" s="23">
        <f>C17+E24-D21-D22-D23-D8</f>
        <v>24657.845825340002</v>
      </c>
      <c r="E28" s="30"/>
      <c r="F28" s="93"/>
      <c r="G28" s="81"/>
      <c r="H28" s="97"/>
      <c r="I28" s="58" t="s">
        <v>76</v>
      </c>
      <c r="J28" s="57" t="s">
        <v>61</v>
      </c>
    </row>
    <row r="29" spans="1:45" x14ac:dyDescent="0.25">
      <c r="A29" s="16" t="s">
        <v>34</v>
      </c>
      <c r="B29" s="32">
        <v>59706</v>
      </c>
      <c r="C29" s="15"/>
      <c r="D29" s="2"/>
      <c r="E29" s="30"/>
      <c r="F29" s="93"/>
      <c r="G29" s="81"/>
      <c r="H29" s="97"/>
      <c r="I29" s="58" t="s">
        <v>77</v>
      </c>
      <c r="J29" s="57" t="s">
        <v>62</v>
      </c>
    </row>
    <row r="30" spans="1:45" x14ac:dyDescent="0.25">
      <c r="A30" s="14"/>
      <c r="B30" s="33" t="s">
        <v>24</v>
      </c>
      <c r="C30" s="22" t="s">
        <v>0</v>
      </c>
      <c r="D30" s="2"/>
      <c r="E30" s="30"/>
      <c r="F30" s="93"/>
      <c r="G30" s="81"/>
      <c r="H30" s="97"/>
      <c r="I30" s="58" t="s">
        <v>78</v>
      </c>
      <c r="J30" s="57" t="s">
        <v>64</v>
      </c>
    </row>
    <row r="31" spans="1:45" x14ac:dyDescent="0.25">
      <c r="A31" s="14" t="s">
        <v>152</v>
      </c>
      <c r="B31" s="33"/>
      <c r="C31" s="22"/>
      <c r="D31" s="92">
        <f>12*(VLOOKUP(I2,'salaristabel PO'!A4:V38,'Loonkosten PO'!C4+2,0))*1.08</f>
        <v>48612.960000000006</v>
      </c>
      <c r="E31" s="30"/>
      <c r="F31" s="93"/>
      <c r="G31" s="81"/>
      <c r="H31" s="97"/>
      <c r="I31" s="58" t="s">
        <v>79</v>
      </c>
      <c r="J31" s="57" t="s">
        <v>49</v>
      </c>
    </row>
    <row r="32" spans="1:45" x14ac:dyDescent="0.25">
      <c r="A32" s="34" t="s">
        <v>172</v>
      </c>
      <c r="B32" s="35">
        <v>7.0499999999999993E-2</v>
      </c>
      <c r="C32" s="15"/>
      <c r="D32" s="2"/>
      <c r="E32" s="30">
        <f>IF(D$28&gt;B$29,B32*B$29,B32*D$28)</f>
        <v>1738.3781306864701</v>
      </c>
      <c r="F32" s="93"/>
      <c r="G32" s="81"/>
      <c r="H32" s="97"/>
      <c r="I32" s="58" t="s">
        <v>80</v>
      </c>
      <c r="J32" s="57" t="s">
        <v>50</v>
      </c>
    </row>
    <row r="33" spans="1:10" x14ac:dyDescent="0.25">
      <c r="A33" s="34" t="s">
        <v>35</v>
      </c>
      <c r="B33" s="25">
        <v>6.7999999999999996E-3</v>
      </c>
      <c r="C33" s="15"/>
      <c r="D33" s="2"/>
      <c r="E33" s="30">
        <f>IF(D$28&gt;B$29,B33*B$29,B33*D$28)</f>
        <v>167.67335161231202</v>
      </c>
      <c r="F33" s="81"/>
      <c r="G33" s="81"/>
      <c r="H33" s="97"/>
      <c r="I33" s="58" t="s">
        <v>81</v>
      </c>
      <c r="J33" s="57" t="s">
        <v>51</v>
      </c>
    </row>
    <row r="34" spans="1:10" x14ac:dyDescent="0.25">
      <c r="A34" s="34" t="s">
        <v>36</v>
      </c>
      <c r="B34" s="25">
        <v>6.0499999999999998E-2</v>
      </c>
      <c r="C34" s="31">
        <v>5.0000000000000001E-4</v>
      </c>
      <c r="D34" s="2"/>
      <c r="E34" s="91">
        <f>IF('Loonkosten PO'!C9="ja",C34*D31*'Loonkosten PO'!C5,B34*D31*'Loonkosten PO'!C5)</f>
        <v>1470.54204</v>
      </c>
      <c r="F34" s="81"/>
      <c r="G34" s="81"/>
      <c r="H34" s="97"/>
      <c r="I34" s="58" t="s">
        <v>82</v>
      </c>
      <c r="J34" s="57" t="s">
        <v>52</v>
      </c>
    </row>
    <row r="35" spans="1:10" x14ac:dyDescent="0.25">
      <c r="A35" s="34" t="s">
        <v>37</v>
      </c>
      <c r="B35" s="25">
        <v>2.5999999999999999E-2</v>
      </c>
      <c r="C35" s="15"/>
      <c r="D35" s="2"/>
      <c r="E35" s="91">
        <f>B35*D31*'Loonkosten PO'!C5</f>
        <v>631.96848</v>
      </c>
      <c r="F35" s="81"/>
      <c r="G35" s="81"/>
      <c r="H35" s="96"/>
      <c r="I35" s="58" t="s">
        <v>83</v>
      </c>
      <c r="J35" s="57" t="s">
        <v>53</v>
      </c>
    </row>
    <row r="36" spans="1:10" x14ac:dyDescent="0.25">
      <c r="A36" s="14"/>
      <c r="B36" s="29"/>
      <c r="C36" s="23"/>
      <c r="D36" s="2"/>
      <c r="E36" s="30">
        <f>SUM(E32:E35)</f>
        <v>4008.5620022987819</v>
      </c>
      <c r="F36" s="81"/>
      <c r="G36" s="81"/>
      <c r="H36" s="96"/>
      <c r="I36" s="58" t="s">
        <v>84</v>
      </c>
      <c r="J36" s="57" t="s">
        <v>54</v>
      </c>
    </row>
    <row r="37" spans="1:10" x14ac:dyDescent="0.25">
      <c r="A37" s="2"/>
      <c r="B37" s="2"/>
      <c r="C37" s="7"/>
      <c r="D37" s="2"/>
      <c r="E37" s="2"/>
      <c r="F37" s="81"/>
      <c r="G37" s="81"/>
      <c r="H37" s="96"/>
      <c r="I37" s="58" t="s">
        <v>165</v>
      </c>
      <c r="J37" s="57" t="s">
        <v>55</v>
      </c>
    </row>
    <row r="38" spans="1:10" x14ac:dyDescent="0.25">
      <c r="A38" s="7" t="s">
        <v>38</v>
      </c>
      <c r="B38" s="36">
        <f>12*(1+B9+B10)</f>
        <v>13.9596</v>
      </c>
      <c r="C38" s="2"/>
      <c r="D38" s="2"/>
      <c r="E38" s="2"/>
      <c r="F38" s="81"/>
      <c r="G38" s="81"/>
      <c r="H38" s="96"/>
    </row>
    <row r="39" spans="1:10" x14ac:dyDescent="0.25">
      <c r="A39" s="83"/>
      <c r="B39" s="83"/>
      <c r="C39" s="83"/>
      <c r="D39" s="83"/>
      <c r="E39" s="83"/>
    </row>
    <row r="40" spans="1:10" x14ac:dyDescent="0.25">
      <c r="A40" s="83"/>
      <c r="B40" s="83"/>
      <c r="C40" s="83"/>
      <c r="D40" s="83"/>
      <c r="E40" s="83"/>
    </row>
  </sheetData>
  <sheetProtection password="E784" sheet="1" objects="1" scenarios="1"/>
  <dataValidations count="1">
    <dataValidation type="list" allowBlank="1" showInputMessage="1" showErrorMessage="1" sqref="I2">
      <formula1>schaal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Y38"/>
  <sheetViews>
    <sheetView workbookViewId="0">
      <selection activeCell="C24" sqref="C24:V30"/>
    </sheetView>
  </sheetViews>
  <sheetFormatPr defaultColWidth="9.140625" defaultRowHeight="15" x14ac:dyDescent="0.25"/>
  <cols>
    <col min="1" max="2" width="9.140625" style="111"/>
    <col min="3" max="22" width="9.140625" style="111" customWidth="1"/>
    <col min="23" max="16384" width="9.140625" style="111"/>
  </cols>
  <sheetData>
    <row r="1" spans="1:25" x14ac:dyDescent="0.25">
      <c r="A1" s="37" t="s">
        <v>39</v>
      </c>
      <c r="B1" s="38"/>
      <c r="C1" s="39">
        <v>44562</v>
      </c>
      <c r="D1" s="40"/>
      <c r="E1" s="38"/>
      <c r="F1" s="41"/>
      <c r="G1" s="41"/>
      <c r="H1" s="41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5" x14ac:dyDescent="0.25">
      <c r="A2" s="42" t="s">
        <v>40</v>
      </c>
      <c r="B2" s="38"/>
      <c r="C2" s="43"/>
      <c r="D2" s="44"/>
      <c r="E2" s="38"/>
      <c r="F2" s="38"/>
      <c r="G2" s="41"/>
      <c r="H2" s="41"/>
      <c r="I2" s="38"/>
      <c r="J2" s="42"/>
      <c r="K2" s="45"/>
      <c r="L2" s="42"/>
      <c r="M2" s="42"/>
      <c r="N2" s="42"/>
      <c r="O2" s="42"/>
      <c r="P2" s="42"/>
      <c r="Q2" s="46"/>
      <c r="R2" s="46"/>
      <c r="S2" s="46"/>
      <c r="T2" s="46"/>
      <c r="U2" s="46"/>
      <c r="V2" s="46"/>
      <c r="W2" s="46"/>
    </row>
    <row r="3" spans="1:25" x14ac:dyDescent="0.25">
      <c r="A3" s="37" t="s">
        <v>41</v>
      </c>
      <c r="B3" s="38"/>
      <c r="C3" s="47">
        <v>1</v>
      </c>
      <c r="D3" s="47">
        <v>2</v>
      </c>
      <c r="E3" s="47">
        <v>3</v>
      </c>
      <c r="F3" s="47">
        <v>4</v>
      </c>
      <c r="G3" s="47">
        <v>5</v>
      </c>
      <c r="H3" s="47">
        <v>6</v>
      </c>
      <c r="I3" s="47">
        <v>7</v>
      </c>
      <c r="J3" s="48">
        <v>8</v>
      </c>
      <c r="K3" s="48">
        <v>9</v>
      </c>
      <c r="L3" s="48">
        <v>10</v>
      </c>
      <c r="M3" s="48">
        <v>11</v>
      </c>
      <c r="N3" s="48">
        <v>12</v>
      </c>
      <c r="O3" s="48">
        <v>13</v>
      </c>
      <c r="P3" s="48">
        <v>14</v>
      </c>
      <c r="Q3" s="48">
        <v>15</v>
      </c>
      <c r="R3" s="48">
        <v>16</v>
      </c>
      <c r="S3" s="48">
        <v>17</v>
      </c>
      <c r="T3" s="48">
        <v>18</v>
      </c>
      <c r="U3" s="48">
        <v>19</v>
      </c>
      <c r="V3" s="48">
        <v>20</v>
      </c>
      <c r="W3" s="48" t="s">
        <v>42</v>
      </c>
    </row>
    <row r="4" spans="1:25" x14ac:dyDescent="0.25">
      <c r="A4" s="49" t="s">
        <v>186</v>
      </c>
      <c r="B4" s="50"/>
      <c r="C4" s="112">
        <v>2630</v>
      </c>
      <c r="D4" s="112">
        <v>2894</v>
      </c>
      <c r="E4" s="112">
        <v>3033</v>
      </c>
      <c r="F4" s="112">
        <v>3187</v>
      </c>
      <c r="G4" s="112">
        <v>3323</v>
      </c>
      <c r="H4" s="112">
        <v>3457</v>
      </c>
      <c r="I4" s="112">
        <v>3586</v>
      </c>
      <c r="J4" s="112">
        <v>3714</v>
      </c>
      <c r="K4" s="112">
        <v>3852</v>
      </c>
      <c r="L4" s="112">
        <v>3975</v>
      </c>
      <c r="M4" s="112">
        <v>4101</v>
      </c>
      <c r="N4" s="112">
        <v>4224</v>
      </c>
      <c r="O4" s="112">
        <v>4366</v>
      </c>
      <c r="P4" s="112"/>
      <c r="Q4" s="112"/>
      <c r="R4" s="112"/>
      <c r="S4" s="112"/>
      <c r="T4" s="112"/>
      <c r="U4" s="112"/>
      <c r="V4" s="112"/>
      <c r="W4" s="51">
        <v>15</v>
      </c>
      <c r="Y4" s="108" t="s">
        <v>190</v>
      </c>
    </row>
    <row r="5" spans="1:25" x14ac:dyDescent="0.25">
      <c r="A5" s="49" t="s">
        <v>187</v>
      </c>
      <c r="B5" s="50"/>
      <c r="C5" s="112">
        <v>2765</v>
      </c>
      <c r="D5" s="112">
        <v>2894</v>
      </c>
      <c r="E5" s="112">
        <v>3036</v>
      </c>
      <c r="F5" s="112">
        <v>3190</v>
      </c>
      <c r="G5" s="112">
        <v>3332</v>
      </c>
      <c r="H5" s="112">
        <v>3476</v>
      </c>
      <c r="I5" s="112">
        <v>3621</v>
      </c>
      <c r="J5" s="112">
        <v>3852</v>
      </c>
      <c r="K5" s="112">
        <v>4006</v>
      </c>
      <c r="L5" s="112">
        <v>4160</v>
      </c>
      <c r="M5" s="112">
        <v>4315</v>
      </c>
      <c r="N5" s="112">
        <v>4470</v>
      </c>
      <c r="O5" s="112">
        <v>4624</v>
      </c>
      <c r="P5" s="112">
        <v>4779</v>
      </c>
      <c r="Q5" s="112">
        <v>4934</v>
      </c>
      <c r="R5" s="112">
        <v>5087</v>
      </c>
      <c r="S5" s="112"/>
      <c r="T5" s="112"/>
      <c r="U5" s="112"/>
      <c r="V5" s="112"/>
      <c r="W5" s="51">
        <v>15</v>
      </c>
      <c r="Y5" s="108" t="s">
        <v>191</v>
      </c>
    </row>
    <row r="6" spans="1:25" x14ac:dyDescent="0.25">
      <c r="A6" s="49" t="s">
        <v>188</v>
      </c>
      <c r="B6" s="50"/>
      <c r="C6" s="112">
        <v>2894</v>
      </c>
      <c r="D6" s="112">
        <v>3064</v>
      </c>
      <c r="E6" s="112">
        <v>3262</v>
      </c>
      <c r="F6" s="112">
        <v>3461</v>
      </c>
      <c r="G6" s="112">
        <v>3659</v>
      </c>
      <c r="H6" s="112">
        <v>3883</v>
      </c>
      <c r="I6" s="112">
        <v>4133</v>
      </c>
      <c r="J6" s="112">
        <v>4411</v>
      </c>
      <c r="K6" s="112">
        <v>4714</v>
      </c>
      <c r="L6" s="112">
        <v>5045</v>
      </c>
      <c r="M6" s="112">
        <v>5401</v>
      </c>
      <c r="N6" s="112">
        <v>5784</v>
      </c>
      <c r="O6" s="112"/>
      <c r="P6" s="112"/>
      <c r="Q6" s="112"/>
      <c r="R6" s="112"/>
      <c r="S6" s="112"/>
      <c r="T6" s="112"/>
      <c r="U6" s="112"/>
      <c r="V6" s="112"/>
      <c r="W6" s="51">
        <v>15</v>
      </c>
      <c r="Y6" s="108" t="s">
        <v>192</v>
      </c>
    </row>
    <row r="7" spans="1:25" x14ac:dyDescent="0.25">
      <c r="A7" s="49" t="s">
        <v>189</v>
      </c>
      <c r="B7" s="50"/>
      <c r="C7" s="112">
        <v>4501</v>
      </c>
      <c r="D7" s="112">
        <v>4637</v>
      </c>
      <c r="E7" s="112">
        <v>4765</v>
      </c>
      <c r="F7" s="112">
        <v>4896</v>
      </c>
      <c r="G7" s="112">
        <v>5021</v>
      </c>
      <c r="H7" s="112">
        <v>5284</v>
      </c>
      <c r="I7" s="112">
        <v>5411</v>
      </c>
      <c r="J7" s="112">
        <v>5540</v>
      </c>
      <c r="K7" s="112">
        <v>5702</v>
      </c>
      <c r="L7" s="112">
        <v>5866</v>
      </c>
      <c r="M7" s="112">
        <v>6028</v>
      </c>
      <c r="N7" s="112">
        <v>6192</v>
      </c>
      <c r="O7" s="112">
        <v>6270</v>
      </c>
      <c r="P7" s="112"/>
      <c r="Q7" s="112"/>
      <c r="R7" s="112"/>
      <c r="S7" s="112"/>
      <c r="T7" s="112"/>
      <c r="U7" s="112"/>
      <c r="V7" s="112"/>
      <c r="W7" s="51">
        <v>15</v>
      </c>
      <c r="Y7" s="108" t="s">
        <v>193</v>
      </c>
    </row>
    <row r="8" spans="1:25" x14ac:dyDescent="0.25">
      <c r="A8" s="49" t="s">
        <v>194</v>
      </c>
      <c r="B8" s="50"/>
      <c r="C8" s="112">
        <v>2765</v>
      </c>
      <c r="D8" s="112">
        <v>2894</v>
      </c>
      <c r="E8" s="112">
        <v>3036</v>
      </c>
      <c r="F8" s="112">
        <v>3190</v>
      </c>
      <c r="G8" s="112">
        <v>3332</v>
      </c>
      <c r="H8" s="112">
        <v>3476</v>
      </c>
      <c r="I8" s="112">
        <v>3621</v>
      </c>
      <c r="J8" s="112">
        <v>3852</v>
      </c>
      <c r="K8" s="112">
        <v>4006</v>
      </c>
      <c r="L8" s="112">
        <v>4160</v>
      </c>
      <c r="M8" s="112">
        <v>4315</v>
      </c>
      <c r="N8" s="112">
        <v>4470</v>
      </c>
      <c r="O8" s="112">
        <v>4624</v>
      </c>
      <c r="P8" s="112">
        <v>4779</v>
      </c>
      <c r="Q8" s="112">
        <v>4934</v>
      </c>
      <c r="R8" s="112">
        <v>5087</v>
      </c>
      <c r="S8" s="112"/>
      <c r="T8" s="112"/>
      <c r="U8" s="112"/>
      <c r="V8" s="112"/>
      <c r="W8" s="51">
        <v>13</v>
      </c>
      <c r="Y8" s="111" t="s">
        <v>199</v>
      </c>
    </row>
    <row r="9" spans="1:25" x14ac:dyDescent="0.25">
      <c r="A9" s="49" t="s">
        <v>195</v>
      </c>
      <c r="B9" s="50"/>
      <c r="C9" s="112">
        <v>2894</v>
      </c>
      <c r="D9" s="112">
        <v>3064</v>
      </c>
      <c r="E9" s="112">
        <v>3262</v>
      </c>
      <c r="F9" s="112">
        <v>3461</v>
      </c>
      <c r="G9" s="112">
        <v>3659</v>
      </c>
      <c r="H9" s="112">
        <v>3883</v>
      </c>
      <c r="I9" s="112">
        <v>4133</v>
      </c>
      <c r="J9" s="112">
        <v>4411</v>
      </c>
      <c r="K9" s="112">
        <v>4714</v>
      </c>
      <c r="L9" s="112">
        <v>5045</v>
      </c>
      <c r="M9" s="112">
        <v>5401</v>
      </c>
      <c r="N9" s="112">
        <v>5784</v>
      </c>
      <c r="O9" s="112"/>
      <c r="P9" s="112"/>
      <c r="Q9" s="112"/>
      <c r="R9" s="112"/>
      <c r="S9" s="112"/>
      <c r="T9" s="112"/>
      <c r="U9" s="112"/>
      <c r="V9" s="112"/>
      <c r="W9" s="51">
        <v>15</v>
      </c>
      <c r="Y9" s="111" t="s">
        <v>200</v>
      </c>
    </row>
    <row r="10" spans="1:25" x14ac:dyDescent="0.25">
      <c r="A10" s="49" t="s">
        <v>196</v>
      </c>
      <c r="B10" s="50"/>
      <c r="C10" s="112">
        <v>4501</v>
      </c>
      <c r="D10" s="112">
        <v>4637</v>
      </c>
      <c r="E10" s="112">
        <v>4765</v>
      </c>
      <c r="F10" s="112">
        <v>4896</v>
      </c>
      <c r="G10" s="112">
        <v>5021</v>
      </c>
      <c r="H10" s="112">
        <v>5284</v>
      </c>
      <c r="I10" s="112">
        <v>5411</v>
      </c>
      <c r="J10" s="112">
        <v>5540</v>
      </c>
      <c r="K10" s="112">
        <v>5702</v>
      </c>
      <c r="L10" s="112">
        <v>5866</v>
      </c>
      <c r="M10" s="112">
        <v>6028</v>
      </c>
      <c r="N10" s="112">
        <v>6192</v>
      </c>
      <c r="O10" s="112">
        <v>6270</v>
      </c>
      <c r="P10" s="112"/>
      <c r="Q10" s="112"/>
      <c r="R10" s="112"/>
      <c r="S10" s="112"/>
      <c r="T10" s="112"/>
      <c r="U10" s="112"/>
      <c r="V10" s="112"/>
      <c r="W10" s="51">
        <v>16</v>
      </c>
      <c r="Y10" s="111" t="s">
        <v>201</v>
      </c>
    </row>
    <row r="11" spans="1:25" x14ac:dyDescent="0.25">
      <c r="A11" s="49" t="s">
        <v>197</v>
      </c>
      <c r="B11" s="50"/>
      <c r="C11" s="112">
        <v>5155</v>
      </c>
      <c r="D11" s="112">
        <v>5284</v>
      </c>
      <c r="E11" s="112">
        <v>5540</v>
      </c>
      <c r="F11" s="112">
        <v>5702</v>
      </c>
      <c r="G11" s="112">
        <v>5866</v>
      </c>
      <c r="H11" s="112">
        <v>6028</v>
      </c>
      <c r="I11" s="112">
        <v>6192</v>
      </c>
      <c r="J11" s="112">
        <v>6356</v>
      </c>
      <c r="K11" s="112">
        <v>6528</v>
      </c>
      <c r="L11" s="112">
        <v>6705</v>
      </c>
      <c r="M11" s="112">
        <v>6888</v>
      </c>
      <c r="N11" s="112"/>
      <c r="O11" s="112"/>
      <c r="P11" s="112"/>
      <c r="Q11" s="112"/>
      <c r="R11" s="112"/>
      <c r="S11" s="112"/>
      <c r="T11" s="112"/>
      <c r="U11" s="112"/>
      <c r="V11" s="112"/>
      <c r="W11" s="51">
        <v>18</v>
      </c>
      <c r="Y11" s="111" t="s">
        <v>202</v>
      </c>
    </row>
    <row r="12" spans="1:25" x14ac:dyDescent="0.25">
      <c r="A12" s="49" t="s">
        <v>198</v>
      </c>
      <c r="B12" s="50"/>
      <c r="C12" s="112">
        <v>5411</v>
      </c>
      <c r="D12" s="112">
        <v>5540</v>
      </c>
      <c r="E12" s="112">
        <v>5702</v>
      </c>
      <c r="F12" s="112">
        <v>6028</v>
      </c>
      <c r="G12" s="112">
        <v>6192</v>
      </c>
      <c r="H12" s="112">
        <v>6356</v>
      </c>
      <c r="I12" s="112">
        <v>6528</v>
      </c>
      <c r="J12" s="112">
        <v>6705</v>
      </c>
      <c r="K12" s="112">
        <v>6888</v>
      </c>
      <c r="L12" s="112">
        <v>7106</v>
      </c>
      <c r="M12" s="112">
        <v>7332</v>
      </c>
      <c r="N12" s="112">
        <v>7563</v>
      </c>
      <c r="O12" s="112"/>
      <c r="P12" s="112"/>
      <c r="Q12" s="112"/>
      <c r="R12" s="112"/>
      <c r="S12" s="112"/>
      <c r="T12" s="112"/>
      <c r="U12" s="112"/>
      <c r="V12" s="112"/>
      <c r="W12" s="51">
        <v>18</v>
      </c>
      <c r="Y12" s="111" t="s">
        <v>203</v>
      </c>
    </row>
    <row r="13" spans="1:25" x14ac:dyDescent="0.25">
      <c r="A13" s="52" t="s">
        <v>43</v>
      </c>
      <c r="B13" s="53"/>
      <c r="C13" s="112">
        <v>1727.86</v>
      </c>
      <c r="D13" s="112">
        <v>1755.17</v>
      </c>
      <c r="E13" s="112">
        <v>1782</v>
      </c>
      <c r="F13" s="112">
        <v>1853</v>
      </c>
      <c r="G13" s="112">
        <v>1922</v>
      </c>
      <c r="H13" s="112">
        <v>1954</v>
      </c>
      <c r="I13" s="112">
        <v>1991</v>
      </c>
      <c r="J13" s="112">
        <v>2027</v>
      </c>
      <c r="K13" s="112">
        <v>2076</v>
      </c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51">
        <v>9</v>
      </c>
      <c r="Y13" s="111" t="s">
        <v>139</v>
      </c>
    </row>
    <row r="14" spans="1:25" x14ac:dyDescent="0.25">
      <c r="A14" s="52" t="s">
        <v>44</v>
      </c>
      <c r="B14" s="53"/>
      <c r="C14" s="112">
        <v>1821</v>
      </c>
      <c r="D14" s="112">
        <v>1889</v>
      </c>
      <c r="E14" s="112">
        <v>1954</v>
      </c>
      <c r="F14" s="112">
        <v>2027</v>
      </c>
      <c r="G14" s="112">
        <v>2076</v>
      </c>
      <c r="H14" s="112">
        <v>2133</v>
      </c>
      <c r="I14" s="112">
        <v>2201</v>
      </c>
      <c r="J14" s="112">
        <v>2265</v>
      </c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51">
        <v>8</v>
      </c>
      <c r="Y14" s="111" t="s">
        <v>112</v>
      </c>
    </row>
    <row r="15" spans="1:25" x14ac:dyDescent="0.25">
      <c r="A15" s="52" t="s">
        <v>45</v>
      </c>
      <c r="B15" s="53"/>
      <c r="C15" s="112">
        <v>1821</v>
      </c>
      <c r="D15" s="112">
        <v>1954</v>
      </c>
      <c r="E15" s="112">
        <v>2027</v>
      </c>
      <c r="F15" s="112">
        <v>2133</v>
      </c>
      <c r="G15" s="112">
        <v>2201</v>
      </c>
      <c r="H15" s="112">
        <v>2265</v>
      </c>
      <c r="I15" s="112">
        <v>2329</v>
      </c>
      <c r="J15" s="112">
        <v>2390</v>
      </c>
      <c r="K15" s="112">
        <v>2452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51">
        <v>7</v>
      </c>
      <c r="Y15" s="111" t="s">
        <v>113</v>
      </c>
    </row>
    <row r="16" spans="1:25" x14ac:dyDescent="0.25">
      <c r="A16" s="52" t="s">
        <v>226</v>
      </c>
      <c r="B16" s="118"/>
      <c r="C16" s="112">
        <v>2865</v>
      </c>
      <c r="D16" s="112">
        <v>2934</v>
      </c>
      <c r="E16" s="112">
        <v>3023</v>
      </c>
      <c r="F16" s="112">
        <v>3111</v>
      </c>
      <c r="G16" s="112">
        <v>3200</v>
      </c>
      <c r="H16" s="112">
        <v>3310</v>
      </c>
      <c r="I16" s="112">
        <v>3439</v>
      </c>
      <c r="J16" s="112">
        <v>3585</v>
      </c>
      <c r="K16" s="112">
        <v>3751</v>
      </c>
      <c r="L16" s="112">
        <v>3935</v>
      </c>
      <c r="M16" s="112">
        <v>4140</v>
      </c>
      <c r="N16" s="112">
        <v>4366</v>
      </c>
      <c r="O16" s="112"/>
      <c r="P16" s="112"/>
      <c r="Q16" s="112"/>
      <c r="R16" s="112"/>
      <c r="S16" s="112"/>
      <c r="T16" s="112"/>
      <c r="U16" s="112"/>
      <c r="V16" s="112"/>
      <c r="W16" s="51">
        <v>15</v>
      </c>
      <c r="Y16" s="111" t="s">
        <v>140</v>
      </c>
    </row>
    <row r="17" spans="1:25" x14ac:dyDescent="0.25">
      <c r="A17" s="52" t="s">
        <v>227</v>
      </c>
      <c r="B17" s="118"/>
      <c r="C17" s="112">
        <v>2882</v>
      </c>
      <c r="D17" s="112">
        <v>3019</v>
      </c>
      <c r="E17" s="112">
        <v>3176</v>
      </c>
      <c r="F17" s="112">
        <v>3332</v>
      </c>
      <c r="G17" s="112">
        <v>3488</v>
      </c>
      <c r="H17" s="112">
        <v>3662</v>
      </c>
      <c r="I17" s="112">
        <v>3854</v>
      </c>
      <c r="J17" s="112">
        <v>4064</v>
      </c>
      <c r="K17" s="112">
        <v>4293</v>
      </c>
      <c r="L17" s="112">
        <v>4540</v>
      </c>
      <c r="M17" s="112">
        <v>4804</v>
      </c>
      <c r="N17" s="112">
        <v>5087</v>
      </c>
      <c r="O17" s="112"/>
      <c r="P17" s="112"/>
      <c r="Q17" s="112"/>
      <c r="R17" s="112"/>
      <c r="S17" s="112"/>
      <c r="T17" s="112"/>
      <c r="U17" s="112"/>
      <c r="V17" s="112"/>
      <c r="W17" s="51">
        <v>15</v>
      </c>
      <c r="Y17" s="111" t="s">
        <v>141</v>
      </c>
    </row>
    <row r="18" spans="1:25" x14ac:dyDescent="0.25">
      <c r="A18" s="52" t="s">
        <v>228</v>
      </c>
      <c r="B18" s="118"/>
      <c r="C18" s="112">
        <v>2894</v>
      </c>
      <c r="D18" s="112">
        <v>3064</v>
      </c>
      <c r="E18" s="112">
        <v>3263</v>
      </c>
      <c r="F18" s="112">
        <v>3461</v>
      </c>
      <c r="G18" s="112">
        <v>3659</v>
      </c>
      <c r="H18" s="112">
        <v>3883</v>
      </c>
      <c r="I18" s="112">
        <v>4133</v>
      </c>
      <c r="J18" s="112">
        <v>4411</v>
      </c>
      <c r="K18" s="112">
        <v>4714</v>
      </c>
      <c r="L18" s="112">
        <v>5044</v>
      </c>
      <c r="M18" s="112">
        <v>5400</v>
      </c>
      <c r="N18" s="112">
        <v>5784</v>
      </c>
      <c r="O18" s="112"/>
      <c r="P18" s="112"/>
      <c r="Q18" s="112"/>
      <c r="R18" s="112"/>
      <c r="S18" s="112"/>
      <c r="T18" s="112"/>
      <c r="U18" s="112"/>
      <c r="V18" s="112"/>
      <c r="W18" s="51">
        <v>15</v>
      </c>
      <c r="Y18" s="111" t="s">
        <v>142</v>
      </c>
    </row>
    <row r="19" spans="1:25" x14ac:dyDescent="0.25">
      <c r="A19" s="52" t="s">
        <v>229</v>
      </c>
      <c r="B19" s="118"/>
      <c r="C19" s="112">
        <v>3714</v>
      </c>
      <c r="D19" s="112">
        <v>3852</v>
      </c>
      <c r="E19" s="112">
        <v>3975</v>
      </c>
      <c r="F19" s="112">
        <v>4224</v>
      </c>
      <c r="G19" s="112">
        <v>4501</v>
      </c>
      <c r="H19" s="112">
        <v>4754</v>
      </c>
      <c r="I19" s="112">
        <v>5006</v>
      </c>
      <c r="J19" s="112">
        <v>5259</v>
      </c>
      <c r="K19" s="112">
        <v>5512</v>
      </c>
      <c r="L19" s="112">
        <v>5764</v>
      </c>
      <c r="M19" s="112">
        <v>6015</v>
      </c>
      <c r="N19" s="112">
        <v>6270</v>
      </c>
      <c r="O19" s="112"/>
      <c r="P19" s="112"/>
      <c r="Q19" s="112"/>
      <c r="R19" s="112"/>
      <c r="S19" s="112"/>
      <c r="T19" s="112"/>
      <c r="U19" s="112"/>
      <c r="V19" s="112"/>
      <c r="W19" s="51">
        <v>15</v>
      </c>
      <c r="Y19" s="111" t="s">
        <v>143</v>
      </c>
    </row>
    <row r="20" spans="1:25" x14ac:dyDescent="0.25">
      <c r="A20" s="52" t="s">
        <v>46</v>
      </c>
      <c r="B20" s="53"/>
      <c r="C20" s="112">
        <v>1433</v>
      </c>
      <c r="D20" s="115"/>
      <c r="E20" s="115"/>
      <c r="F20" s="115"/>
      <c r="G20" s="115"/>
      <c r="H20" s="115"/>
      <c r="I20" s="115"/>
      <c r="J20" s="116"/>
      <c r="K20" s="116"/>
      <c r="L20" s="116"/>
      <c r="M20" s="116"/>
      <c r="N20" s="116"/>
      <c r="O20" s="116"/>
      <c r="P20" s="116"/>
      <c r="Q20" s="116"/>
      <c r="R20" s="113"/>
      <c r="S20" s="116"/>
      <c r="T20" s="116"/>
      <c r="U20" s="116"/>
      <c r="V20" s="116"/>
      <c r="W20" s="51">
        <v>1</v>
      </c>
      <c r="Y20" s="111" t="s">
        <v>114</v>
      </c>
    </row>
    <row r="21" spans="1:25" x14ac:dyDescent="0.25">
      <c r="A21" s="52" t="s">
        <v>47</v>
      </c>
      <c r="B21" s="53"/>
      <c r="C21" s="112">
        <v>1441</v>
      </c>
      <c r="D21" s="115"/>
      <c r="E21" s="115"/>
      <c r="F21" s="115"/>
      <c r="G21" s="115"/>
      <c r="H21" s="115"/>
      <c r="I21" s="115"/>
      <c r="J21" s="116"/>
      <c r="K21" s="116"/>
      <c r="L21" s="116"/>
      <c r="M21" s="116"/>
      <c r="N21" s="116"/>
      <c r="O21" s="116"/>
      <c r="P21" s="116"/>
      <c r="Q21" s="116"/>
      <c r="R21" s="113"/>
      <c r="S21" s="116"/>
      <c r="T21" s="116"/>
      <c r="U21" s="116"/>
      <c r="V21" s="116"/>
      <c r="W21" s="51">
        <v>1</v>
      </c>
      <c r="Y21" s="111" t="s">
        <v>115</v>
      </c>
    </row>
    <row r="22" spans="1:25" x14ac:dyDescent="0.25">
      <c r="A22" s="52" t="s">
        <v>85</v>
      </c>
      <c r="B22" s="54"/>
      <c r="C22" s="114">
        <v>1725</v>
      </c>
      <c r="D22" s="112">
        <v>1782</v>
      </c>
      <c r="E22" s="112">
        <v>1840</v>
      </c>
      <c r="F22" s="112">
        <v>1898</v>
      </c>
      <c r="G22" s="112"/>
      <c r="H22" s="112"/>
      <c r="I22" s="112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51">
        <v>4</v>
      </c>
      <c r="Y22" s="111" t="s">
        <v>144</v>
      </c>
    </row>
    <row r="23" spans="1:25" x14ac:dyDescent="0.25">
      <c r="A23" s="52" t="s">
        <v>48</v>
      </c>
      <c r="B23" s="53"/>
      <c r="C23" s="112">
        <v>1782</v>
      </c>
      <c r="D23" s="112">
        <v>1853</v>
      </c>
      <c r="E23" s="112">
        <v>1922</v>
      </c>
      <c r="F23" s="112">
        <v>1954</v>
      </c>
      <c r="G23" s="112">
        <v>1991</v>
      </c>
      <c r="H23" s="112">
        <v>2027</v>
      </c>
      <c r="I23" s="112">
        <v>2076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51">
        <v>7</v>
      </c>
      <c r="Y23" s="111" t="s">
        <v>116</v>
      </c>
    </row>
    <row r="24" spans="1:25" x14ac:dyDescent="0.25">
      <c r="A24" s="52" t="s">
        <v>49</v>
      </c>
      <c r="B24" s="53"/>
      <c r="C24" s="112">
        <v>2630</v>
      </c>
      <c r="D24" s="112">
        <v>2894</v>
      </c>
      <c r="E24" s="112">
        <v>3033</v>
      </c>
      <c r="F24" s="112">
        <v>3187</v>
      </c>
      <c r="G24" s="112">
        <v>3323</v>
      </c>
      <c r="H24" s="112">
        <v>3457</v>
      </c>
      <c r="I24" s="112">
        <v>3586</v>
      </c>
      <c r="J24" s="112">
        <v>3714</v>
      </c>
      <c r="K24" s="112">
        <v>3852</v>
      </c>
      <c r="L24" s="112">
        <v>3975</v>
      </c>
      <c r="M24" s="112">
        <v>4101</v>
      </c>
      <c r="N24" s="112">
        <v>4224</v>
      </c>
      <c r="O24" s="112">
        <v>4366</v>
      </c>
      <c r="P24" s="112"/>
      <c r="Q24" s="112"/>
      <c r="R24" s="112"/>
      <c r="S24" s="112"/>
      <c r="T24" s="112"/>
      <c r="U24" s="112"/>
      <c r="V24" s="112"/>
      <c r="W24" s="51">
        <v>13</v>
      </c>
      <c r="Y24" s="111" t="s">
        <v>117</v>
      </c>
    </row>
    <row r="25" spans="1:25" x14ac:dyDescent="0.25">
      <c r="A25" s="52" t="s">
        <v>50</v>
      </c>
      <c r="B25" s="53"/>
      <c r="C25" s="112">
        <v>2765</v>
      </c>
      <c r="D25" s="112">
        <v>2894</v>
      </c>
      <c r="E25" s="112">
        <v>3036</v>
      </c>
      <c r="F25" s="112">
        <v>3190</v>
      </c>
      <c r="G25" s="112">
        <v>3332</v>
      </c>
      <c r="H25" s="112">
        <v>3476</v>
      </c>
      <c r="I25" s="112">
        <v>3621</v>
      </c>
      <c r="J25" s="112">
        <v>3852</v>
      </c>
      <c r="K25" s="112">
        <v>4006</v>
      </c>
      <c r="L25" s="112">
        <v>4160</v>
      </c>
      <c r="M25" s="112">
        <v>4315</v>
      </c>
      <c r="N25" s="112">
        <v>4470</v>
      </c>
      <c r="O25" s="112">
        <v>4624</v>
      </c>
      <c r="P25" s="112">
        <v>4779</v>
      </c>
      <c r="Q25" s="112">
        <v>4934</v>
      </c>
      <c r="R25" s="112">
        <v>5087</v>
      </c>
      <c r="S25" s="112"/>
      <c r="T25" s="112"/>
      <c r="U25" s="112"/>
      <c r="V25" s="112"/>
      <c r="W25" s="51">
        <v>18</v>
      </c>
      <c r="Y25" s="111" t="s">
        <v>118</v>
      </c>
    </row>
    <row r="26" spans="1:25" x14ac:dyDescent="0.25">
      <c r="A26" s="52" t="s">
        <v>51</v>
      </c>
      <c r="B26" s="53"/>
      <c r="C26" s="112">
        <v>2894</v>
      </c>
      <c r="D26" s="112">
        <v>3064</v>
      </c>
      <c r="E26" s="112">
        <v>3262</v>
      </c>
      <c r="F26" s="112">
        <v>3461</v>
      </c>
      <c r="G26" s="112">
        <v>3659</v>
      </c>
      <c r="H26" s="112">
        <v>3883</v>
      </c>
      <c r="I26" s="112">
        <v>4133</v>
      </c>
      <c r="J26" s="112">
        <v>4411</v>
      </c>
      <c r="K26" s="112">
        <v>4714</v>
      </c>
      <c r="L26" s="112">
        <v>5045</v>
      </c>
      <c r="M26" s="112">
        <v>5401</v>
      </c>
      <c r="N26" s="112">
        <v>5784</v>
      </c>
      <c r="O26" s="112"/>
      <c r="P26" s="112"/>
      <c r="Q26" s="112"/>
      <c r="R26" s="112"/>
      <c r="S26" s="112"/>
      <c r="T26" s="112"/>
      <c r="U26" s="112"/>
      <c r="V26" s="112"/>
      <c r="W26" s="51">
        <v>16</v>
      </c>
      <c r="Y26" s="111" t="s">
        <v>119</v>
      </c>
    </row>
    <row r="27" spans="1:25" x14ac:dyDescent="0.25">
      <c r="A27" s="52" t="s">
        <v>52</v>
      </c>
      <c r="B27" s="53"/>
      <c r="C27" s="112">
        <v>4501</v>
      </c>
      <c r="D27" s="112">
        <v>4637</v>
      </c>
      <c r="E27" s="112">
        <v>4765</v>
      </c>
      <c r="F27" s="112">
        <v>4896</v>
      </c>
      <c r="G27" s="112">
        <v>5021</v>
      </c>
      <c r="H27" s="112">
        <v>5284</v>
      </c>
      <c r="I27" s="112">
        <v>5411</v>
      </c>
      <c r="J27" s="112">
        <v>5540</v>
      </c>
      <c r="K27" s="112">
        <v>5702</v>
      </c>
      <c r="L27" s="112">
        <v>5866</v>
      </c>
      <c r="M27" s="112">
        <v>6028</v>
      </c>
      <c r="N27" s="112">
        <v>6192</v>
      </c>
      <c r="O27" s="112">
        <v>6270</v>
      </c>
      <c r="P27" s="112"/>
      <c r="Q27" s="112"/>
      <c r="R27" s="112"/>
      <c r="S27" s="112"/>
      <c r="T27" s="112"/>
      <c r="U27" s="112"/>
      <c r="V27" s="112"/>
      <c r="W27" s="51">
        <v>13</v>
      </c>
      <c r="Y27" s="111" t="s">
        <v>120</v>
      </c>
    </row>
    <row r="28" spans="1:25" x14ac:dyDescent="0.25">
      <c r="A28" s="52" t="s">
        <v>53</v>
      </c>
      <c r="B28" s="53"/>
      <c r="C28" s="112">
        <v>5155</v>
      </c>
      <c r="D28" s="112">
        <v>5284</v>
      </c>
      <c r="E28" s="112">
        <v>5540</v>
      </c>
      <c r="F28" s="112">
        <v>5702</v>
      </c>
      <c r="G28" s="112">
        <v>5866</v>
      </c>
      <c r="H28" s="112">
        <v>6028</v>
      </c>
      <c r="I28" s="112">
        <v>6192</v>
      </c>
      <c r="J28" s="112">
        <v>6356</v>
      </c>
      <c r="K28" s="112">
        <v>6528</v>
      </c>
      <c r="L28" s="112">
        <v>6705</v>
      </c>
      <c r="M28" s="112">
        <v>6888</v>
      </c>
      <c r="N28" s="112"/>
      <c r="O28" s="112"/>
      <c r="P28" s="112"/>
      <c r="Q28" s="112"/>
      <c r="R28" s="112"/>
      <c r="S28" s="112"/>
      <c r="T28" s="112"/>
      <c r="U28" s="112"/>
      <c r="V28" s="112"/>
      <c r="W28" s="51">
        <v>11</v>
      </c>
      <c r="Y28" s="111" t="s">
        <v>121</v>
      </c>
    </row>
    <row r="29" spans="1:25" x14ac:dyDescent="0.25">
      <c r="A29" s="52" t="s">
        <v>54</v>
      </c>
      <c r="B29" s="41"/>
      <c r="C29" s="112">
        <v>5411</v>
      </c>
      <c r="D29" s="112">
        <v>5540</v>
      </c>
      <c r="E29" s="112">
        <v>5702</v>
      </c>
      <c r="F29" s="112">
        <v>6028</v>
      </c>
      <c r="G29" s="112">
        <v>6192</v>
      </c>
      <c r="H29" s="112">
        <v>6356</v>
      </c>
      <c r="I29" s="112">
        <v>6528</v>
      </c>
      <c r="J29" s="112">
        <v>6705</v>
      </c>
      <c r="K29" s="112">
        <v>6888</v>
      </c>
      <c r="L29" s="112">
        <v>7106</v>
      </c>
      <c r="M29" s="112">
        <v>7332</v>
      </c>
      <c r="N29" s="112">
        <v>7563</v>
      </c>
      <c r="O29" s="112"/>
      <c r="P29" s="112"/>
      <c r="Q29" s="112"/>
      <c r="R29" s="112"/>
      <c r="S29" s="112"/>
      <c r="T29" s="112"/>
      <c r="U29" s="112"/>
      <c r="V29" s="112"/>
      <c r="W29" s="51">
        <v>12</v>
      </c>
      <c r="Y29" s="111" t="s">
        <v>122</v>
      </c>
    </row>
    <row r="30" spans="1:25" x14ac:dyDescent="0.25">
      <c r="A30" s="52" t="s">
        <v>55</v>
      </c>
      <c r="B30" s="41"/>
      <c r="C30" s="112">
        <v>5866</v>
      </c>
      <c r="D30" s="112">
        <v>6028</v>
      </c>
      <c r="E30" s="112">
        <v>6192</v>
      </c>
      <c r="F30" s="112">
        <v>6528</v>
      </c>
      <c r="G30" s="112">
        <v>6705</v>
      </c>
      <c r="H30" s="112">
        <v>6888</v>
      </c>
      <c r="I30" s="112">
        <v>7106</v>
      </c>
      <c r="J30" s="112">
        <v>7332</v>
      </c>
      <c r="K30" s="112">
        <v>7563</v>
      </c>
      <c r="L30" s="112">
        <v>7805</v>
      </c>
      <c r="M30" s="112">
        <v>8051</v>
      </c>
      <c r="N30" s="112">
        <v>8307</v>
      </c>
      <c r="O30" s="112"/>
      <c r="P30" s="112"/>
      <c r="Q30" s="112"/>
      <c r="R30" s="112"/>
      <c r="S30" s="112"/>
      <c r="T30" s="112"/>
      <c r="U30" s="112"/>
      <c r="V30" s="112"/>
      <c r="W30" s="51">
        <v>12</v>
      </c>
      <c r="Y30" s="111" t="s">
        <v>123</v>
      </c>
    </row>
    <row r="31" spans="1:25" x14ac:dyDescent="0.25">
      <c r="A31" s="52" t="s">
        <v>56</v>
      </c>
      <c r="B31" s="53"/>
      <c r="C31" s="112">
        <v>1821</v>
      </c>
      <c r="D31" s="112">
        <v>1889</v>
      </c>
      <c r="E31" s="112">
        <v>1954</v>
      </c>
      <c r="F31" s="112">
        <v>2027</v>
      </c>
      <c r="G31" s="112">
        <v>2076</v>
      </c>
      <c r="H31" s="112">
        <v>2133</v>
      </c>
      <c r="I31" s="112">
        <v>2201</v>
      </c>
      <c r="J31" s="112">
        <v>2265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51">
        <v>8</v>
      </c>
      <c r="Y31" s="111" t="s">
        <v>124</v>
      </c>
    </row>
    <row r="32" spans="1:25" x14ac:dyDescent="0.25">
      <c r="A32" s="52" t="s">
        <v>57</v>
      </c>
      <c r="B32" s="53"/>
      <c r="C32" s="112">
        <v>1821</v>
      </c>
      <c r="D32" s="112">
        <v>1954</v>
      </c>
      <c r="E32" s="112">
        <v>2027</v>
      </c>
      <c r="F32" s="112">
        <v>2133</v>
      </c>
      <c r="G32" s="112">
        <v>2201</v>
      </c>
      <c r="H32" s="112">
        <v>2265</v>
      </c>
      <c r="I32" s="112">
        <v>2329</v>
      </c>
      <c r="J32" s="112">
        <v>2390</v>
      </c>
      <c r="K32" s="112">
        <v>2452</v>
      </c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51">
        <v>9</v>
      </c>
      <c r="Y32" s="111" t="s">
        <v>125</v>
      </c>
    </row>
    <row r="33" spans="1:25" x14ac:dyDescent="0.25">
      <c r="A33" s="52" t="s">
        <v>58</v>
      </c>
      <c r="B33" s="53"/>
      <c r="C33" s="112">
        <v>1854</v>
      </c>
      <c r="D33" s="112">
        <v>1954</v>
      </c>
      <c r="E33" s="112">
        <v>2027</v>
      </c>
      <c r="F33" s="112">
        <v>2133</v>
      </c>
      <c r="G33" s="112">
        <v>2201</v>
      </c>
      <c r="H33" s="112">
        <v>2265</v>
      </c>
      <c r="I33" s="112">
        <v>2329</v>
      </c>
      <c r="J33" s="112">
        <v>2390</v>
      </c>
      <c r="K33" s="112">
        <v>2452</v>
      </c>
      <c r="L33" s="112">
        <v>2511</v>
      </c>
      <c r="M33" s="112">
        <v>2570</v>
      </c>
      <c r="N33" s="112"/>
      <c r="O33" s="112"/>
      <c r="P33" s="112"/>
      <c r="Q33" s="112"/>
      <c r="R33" s="112"/>
      <c r="S33" s="112"/>
      <c r="T33" s="112"/>
      <c r="U33" s="112"/>
      <c r="V33" s="112"/>
      <c r="W33" s="51">
        <v>11</v>
      </c>
      <c r="Y33" s="111" t="s">
        <v>126</v>
      </c>
    </row>
    <row r="34" spans="1:25" x14ac:dyDescent="0.25">
      <c r="A34" s="52" t="s">
        <v>59</v>
      </c>
      <c r="B34" s="53"/>
      <c r="C34" s="112">
        <v>1889</v>
      </c>
      <c r="D34" s="112">
        <v>1954</v>
      </c>
      <c r="E34" s="112">
        <v>2027</v>
      </c>
      <c r="F34" s="112">
        <v>2133</v>
      </c>
      <c r="G34" s="112">
        <v>2265</v>
      </c>
      <c r="H34" s="112">
        <v>2329</v>
      </c>
      <c r="I34" s="112">
        <v>2390</v>
      </c>
      <c r="J34" s="112">
        <v>2452</v>
      </c>
      <c r="K34" s="112">
        <v>2511</v>
      </c>
      <c r="L34" s="112">
        <v>2570</v>
      </c>
      <c r="M34" s="112">
        <v>2630</v>
      </c>
      <c r="N34" s="112">
        <v>2699</v>
      </c>
      <c r="O34" s="112"/>
      <c r="P34" s="112"/>
      <c r="Q34" s="112"/>
      <c r="R34" s="112"/>
      <c r="S34" s="112"/>
      <c r="T34" s="112"/>
      <c r="U34" s="112"/>
      <c r="V34" s="112"/>
      <c r="W34" s="51">
        <v>12</v>
      </c>
      <c r="Y34" s="111" t="s">
        <v>127</v>
      </c>
    </row>
    <row r="35" spans="1:25" x14ac:dyDescent="0.25">
      <c r="A35" s="52" t="s">
        <v>60</v>
      </c>
      <c r="B35" s="53"/>
      <c r="C35" s="112">
        <v>1954</v>
      </c>
      <c r="D35" s="112">
        <v>2027</v>
      </c>
      <c r="E35" s="112">
        <v>2265</v>
      </c>
      <c r="F35" s="112">
        <v>2390</v>
      </c>
      <c r="G35" s="112">
        <v>2452</v>
      </c>
      <c r="H35" s="112">
        <v>2511</v>
      </c>
      <c r="I35" s="112">
        <v>2570</v>
      </c>
      <c r="J35" s="112">
        <v>2630</v>
      </c>
      <c r="K35" s="112">
        <v>2699</v>
      </c>
      <c r="L35" s="112">
        <v>2765</v>
      </c>
      <c r="M35" s="112">
        <v>2826</v>
      </c>
      <c r="N35" s="112"/>
      <c r="O35" s="112"/>
      <c r="P35" s="112"/>
      <c r="Q35" s="112"/>
      <c r="R35" s="112"/>
      <c r="S35" s="112"/>
      <c r="T35" s="112"/>
      <c r="U35" s="112"/>
      <c r="V35" s="112"/>
      <c r="W35" s="51">
        <v>11</v>
      </c>
      <c r="Y35" s="111" t="s">
        <v>128</v>
      </c>
    </row>
    <row r="36" spans="1:25" x14ac:dyDescent="0.25">
      <c r="A36" s="52" t="s">
        <v>61</v>
      </c>
      <c r="B36" s="53"/>
      <c r="C36" s="112">
        <v>2076</v>
      </c>
      <c r="D36" s="112">
        <v>2133</v>
      </c>
      <c r="E36" s="112">
        <v>2265</v>
      </c>
      <c r="F36" s="112">
        <v>2511</v>
      </c>
      <c r="G36" s="112">
        <v>2630</v>
      </c>
      <c r="H36" s="112">
        <v>2699</v>
      </c>
      <c r="I36" s="112">
        <v>2765</v>
      </c>
      <c r="J36" s="112">
        <v>2826</v>
      </c>
      <c r="K36" s="112">
        <v>2894</v>
      </c>
      <c r="L36" s="112">
        <v>2963</v>
      </c>
      <c r="M36" s="112">
        <v>3033</v>
      </c>
      <c r="N36" s="112">
        <v>3114</v>
      </c>
      <c r="O36" s="112"/>
      <c r="P36" s="112"/>
      <c r="Q36" s="112"/>
      <c r="R36" s="112"/>
      <c r="S36" s="112"/>
      <c r="T36" s="112"/>
      <c r="U36" s="112"/>
      <c r="V36" s="112"/>
      <c r="W36" s="51">
        <v>12</v>
      </c>
      <c r="Y36" s="111" t="s">
        <v>129</v>
      </c>
    </row>
    <row r="37" spans="1:25" x14ac:dyDescent="0.25">
      <c r="A37" s="52" t="s">
        <v>62</v>
      </c>
      <c r="B37" s="53"/>
      <c r="C37" s="112">
        <v>2329</v>
      </c>
      <c r="D37" s="112">
        <v>2390</v>
      </c>
      <c r="E37" s="112">
        <v>2511</v>
      </c>
      <c r="F37" s="112">
        <v>2765</v>
      </c>
      <c r="G37" s="112">
        <v>2894</v>
      </c>
      <c r="H37" s="112">
        <v>3033</v>
      </c>
      <c r="I37" s="112">
        <v>3114</v>
      </c>
      <c r="J37" s="112">
        <v>3187</v>
      </c>
      <c r="K37" s="112">
        <v>3252</v>
      </c>
      <c r="L37" s="112">
        <v>3323</v>
      </c>
      <c r="M37" s="112">
        <v>3393</v>
      </c>
      <c r="N37" s="112">
        <v>3457</v>
      </c>
      <c r="O37" s="112">
        <v>3519</v>
      </c>
      <c r="P37" s="112"/>
      <c r="Q37" s="112"/>
      <c r="R37" s="112"/>
      <c r="S37" s="112"/>
      <c r="T37" s="112"/>
      <c r="U37" s="112"/>
      <c r="V37" s="112"/>
      <c r="W37" s="51">
        <v>13</v>
      </c>
      <c r="Y37" s="111" t="s">
        <v>130</v>
      </c>
    </row>
    <row r="38" spans="1:25" x14ac:dyDescent="0.25">
      <c r="A38" s="52" t="s">
        <v>63</v>
      </c>
      <c r="B38" s="53"/>
      <c r="C38" s="112">
        <v>2630</v>
      </c>
      <c r="D38" s="112">
        <v>2765</v>
      </c>
      <c r="E38" s="112">
        <v>3033</v>
      </c>
      <c r="F38" s="112">
        <v>3187</v>
      </c>
      <c r="G38" s="112">
        <v>3323</v>
      </c>
      <c r="H38" s="112">
        <v>3457</v>
      </c>
      <c r="I38" s="112">
        <v>3586</v>
      </c>
      <c r="J38" s="112">
        <v>3714</v>
      </c>
      <c r="K38" s="112">
        <v>3852</v>
      </c>
      <c r="L38" s="112">
        <v>3975</v>
      </c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51">
        <v>10</v>
      </c>
      <c r="Y38" s="111" t="s">
        <v>131</v>
      </c>
    </row>
  </sheetData>
  <sheetProtection password="E784" sheet="1" selectLockedCells="1" selectUnlockedCells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D34"/>
  <sheetViews>
    <sheetView workbookViewId="0">
      <selection activeCell="A35" sqref="A35"/>
    </sheetView>
  </sheetViews>
  <sheetFormatPr defaultRowHeight="15" x14ac:dyDescent="0.25"/>
  <cols>
    <col min="2" max="2" width="11.7109375" customWidth="1"/>
    <col min="4" max="4" width="84.85546875" customWidth="1"/>
  </cols>
  <sheetData>
    <row r="1" spans="1:4" x14ac:dyDescent="0.25">
      <c r="A1" s="74" t="s">
        <v>86</v>
      </c>
      <c r="B1" s="74" t="s">
        <v>87</v>
      </c>
      <c r="C1" s="74" t="s">
        <v>88</v>
      </c>
      <c r="D1" s="74" t="s">
        <v>89</v>
      </c>
    </row>
    <row r="2" spans="1:4" x14ac:dyDescent="0.25">
      <c r="A2" s="1" t="s">
        <v>90</v>
      </c>
      <c r="B2" s="75">
        <v>42481</v>
      </c>
      <c r="C2" s="1" t="s">
        <v>91</v>
      </c>
      <c r="D2" s="1" t="s">
        <v>92</v>
      </c>
    </row>
    <row r="3" spans="1:4" x14ac:dyDescent="0.25">
      <c r="A3" s="1" t="s">
        <v>93</v>
      </c>
      <c r="B3" s="75">
        <v>42395</v>
      </c>
      <c r="C3" s="1" t="s">
        <v>91</v>
      </c>
      <c r="D3" s="1" t="s">
        <v>94</v>
      </c>
    </row>
    <row r="4" spans="1:4" x14ac:dyDescent="0.25">
      <c r="A4" s="1" t="s">
        <v>95</v>
      </c>
      <c r="B4" s="76">
        <v>42332</v>
      </c>
      <c r="C4" s="1" t="s">
        <v>91</v>
      </c>
      <c r="D4" s="1" t="s">
        <v>96</v>
      </c>
    </row>
    <row r="5" spans="1:4" ht="26.25" x14ac:dyDescent="0.25">
      <c r="A5" s="77" t="s">
        <v>97</v>
      </c>
      <c r="B5" s="78">
        <v>42047</v>
      </c>
      <c r="C5" s="77" t="s">
        <v>91</v>
      </c>
      <c r="D5" s="79" t="s">
        <v>98</v>
      </c>
    </row>
    <row r="6" spans="1:4" x14ac:dyDescent="0.25">
      <c r="A6" s="1" t="s">
        <v>99</v>
      </c>
      <c r="B6" s="80">
        <v>42543</v>
      </c>
      <c r="C6" s="1" t="s">
        <v>100</v>
      </c>
      <c r="D6" s="1" t="s">
        <v>101</v>
      </c>
    </row>
    <row r="7" spans="1:4" x14ac:dyDescent="0.25">
      <c r="A7" s="1" t="s">
        <v>102</v>
      </c>
      <c r="B7" s="80">
        <v>42696</v>
      </c>
      <c r="C7" s="1" t="s">
        <v>91</v>
      </c>
      <c r="D7" s="1" t="s">
        <v>103</v>
      </c>
    </row>
    <row r="8" spans="1:4" x14ac:dyDescent="0.25">
      <c r="A8" s="1" t="s">
        <v>104</v>
      </c>
      <c r="B8" s="80">
        <v>42760</v>
      </c>
      <c r="C8" s="1" t="s">
        <v>91</v>
      </c>
      <c r="D8" s="1" t="s">
        <v>105</v>
      </c>
    </row>
    <row r="9" spans="1:4" x14ac:dyDescent="0.25">
      <c r="A9" s="1" t="s">
        <v>106</v>
      </c>
      <c r="B9" s="80">
        <v>42991</v>
      </c>
      <c r="C9" s="1" t="s">
        <v>91</v>
      </c>
      <c r="D9" s="1" t="s">
        <v>107</v>
      </c>
    </row>
    <row r="10" spans="1:4" x14ac:dyDescent="0.25">
      <c r="A10" s="1" t="s">
        <v>108</v>
      </c>
      <c r="B10" s="80">
        <v>43125</v>
      </c>
      <c r="C10" s="1" t="s">
        <v>91</v>
      </c>
      <c r="D10" s="1" t="s">
        <v>109</v>
      </c>
    </row>
    <row r="11" spans="1:4" x14ac:dyDescent="0.25">
      <c r="A11" s="1" t="s">
        <v>110</v>
      </c>
      <c r="B11" s="80">
        <v>43223</v>
      </c>
      <c r="C11" s="1" t="s">
        <v>91</v>
      </c>
      <c r="D11" s="1" t="s">
        <v>111</v>
      </c>
    </row>
    <row r="12" spans="1:4" x14ac:dyDescent="0.25">
      <c r="A12" s="1" t="s">
        <v>149</v>
      </c>
      <c r="B12" s="80">
        <v>43264</v>
      </c>
      <c r="C12" s="1" t="s">
        <v>91</v>
      </c>
      <c r="D12" s="1" t="s">
        <v>150</v>
      </c>
    </row>
    <row r="13" spans="1:4" x14ac:dyDescent="0.25">
      <c r="A13" s="1" t="s">
        <v>153</v>
      </c>
      <c r="B13" s="80">
        <v>43279</v>
      </c>
      <c r="C13" s="1" t="s">
        <v>100</v>
      </c>
      <c r="D13" s="1" t="s">
        <v>154</v>
      </c>
    </row>
    <row r="14" spans="1:4" x14ac:dyDescent="0.25">
      <c r="A14" s="1" t="s">
        <v>153</v>
      </c>
      <c r="B14" s="80">
        <v>43279</v>
      </c>
      <c r="C14" s="1" t="s">
        <v>100</v>
      </c>
      <c r="D14" s="1" t="s">
        <v>155</v>
      </c>
    </row>
    <row r="15" spans="1:4" x14ac:dyDescent="0.25">
      <c r="A15" s="1" t="s">
        <v>153</v>
      </c>
      <c r="B15" s="80">
        <v>43279</v>
      </c>
      <c r="C15" s="1" t="s">
        <v>100</v>
      </c>
      <c r="D15" s="1" t="s">
        <v>156</v>
      </c>
    </row>
    <row r="16" spans="1:4" x14ac:dyDescent="0.25">
      <c r="A16" s="1" t="s">
        <v>153</v>
      </c>
      <c r="B16" s="80">
        <v>43279</v>
      </c>
      <c r="C16" s="1" t="s">
        <v>100</v>
      </c>
      <c r="D16" s="1" t="s">
        <v>157</v>
      </c>
    </row>
    <row r="17" spans="1:4" x14ac:dyDescent="0.25">
      <c r="A17" s="1" t="s">
        <v>159</v>
      </c>
      <c r="B17" s="80">
        <v>43336</v>
      </c>
      <c r="C17" s="1" t="s">
        <v>91</v>
      </c>
      <c r="D17" s="1" t="s">
        <v>160</v>
      </c>
    </row>
    <row r="18" spans="1:4" x14ac:dyDescent="0.25">
      <c r="A18" s="1" t="s">
        <v>163</v>
      </c>
      <c r="B18" s="80">
        <v>43423</v>
      </c>
      <c r="C18" s="1" t="s">
        <v>91</v>
      </c>
      <c r="D18" s="1" t="s">
        <v>164</v>
      </c>
    </row>
    <row r="19" spans="1:4" x14ac:dyDescent="0.25">
      <c r="A19" s="1" t="s">
        <v>166</v>
      </c>
      <c r="B19" s="80">
        <v>43439</v>
      </c>
      <c r="C19" s="1" t="s">
        <v>91</v>
      </c>
      <c r="D19" s="1" t="s">
        <v>167</v>
      </c>
    </row>
    <row r="20" spans="1:4" x14ac:dyDescent="0.25">
      <c r="A20" s="1" t="s">
        <v>168</v>
      </c>
      <c r="B20" s="80">
        <v>43468</v>
      </c>
      <c r="C20" s="1" t="s">
        <v>91</v>
      </c>
      <c r="D20" s="1" t="s">
        <v>169</v>
      </c>
    </row>
    <row r="21" spans="1:4" x14ac:dyDescent="0.25">
      <c r="A21" s="1" t="s">
        <v>170</v>
      </c>
      <c r="B21" s="80">
        <v>43661</v>
      </c>
      <c r="C21" s="1" t="s">
        <v>91</v>
      </c>
      <c r="D21" s="1" t="s">
        <v>171</v>
      </c>
    </row>
    <row r="22" spans="1:4" x14ac:dyDescent="0.25">
      <c r="A22" s="1" t="s">
        <v>173</v>
      </c>
      <c r="B22" s="80">
        <v>43837</v>
      </c>
      <c r="C22" s="1" t="s">
        <v>91</v>
      </c>
      <c r="D22" s="1" t="s">
        <v>174</v>
      </c>
    </row>
    <row r="23" spans="1:4" x14ac:dyDescent="0.25">
      <c r="A23" s="1" t="s">
        <v>175</v>
      </c>
      <c r="B23" s="80">
        <v>43838</v>
      </c>
      <c r="C23" s="1" t="s">
        <v>91</v>
      </c>
      <c r="D23" s="1" t="s">
        <v>176</v>
      </c>
    </row>
    <row r="24" spans="1:4" x14ac:dyDescent="0.25">
      <c r="A24" s="1" t="s">
        <v>205</v>
      </c>
      <c r="B24" s="80">
        <v>43840</v>
      </c>
      <c r="C24" s="1" t="s">
        <v>91</v>
      </c>
      <c r="D24" s="1" t="s">
        <v>204</v>
      </c>
    </row>
    <row r="25" spans="1:4" x14ac:dyDescent="0.25">
      <c r="A25" s="1" t="s">
        <v>207</v>
      </c>
      <c r="B25" s="80">
        <v>43907</v>
      </c>
      <c r="C25" s="1" t="s">
        <v>91</v>
      </c>
      <c r="D25" s="1" t="s">
        <v>206</v>
      </c>
    </row>
    <row r="26" spans="1:4" x14ac:dyDescent="0.25">
      <c r="A26" s="1" t="s">
        <v>208</v>
      </c>
      <c r="B26" s="80">
        <v>44036</v>
      </c>
      <c r="C26" s="1" t="s">
        <v>91</v>
      </c>
      <c r="D26" s="1" t="s">
        <v>209</v>
      </c>
    </row>
    <row r="27" spans="1:4" x14ac:dyDescent="0.25">
      <c r="A27" s="1" t="s">
        <v>210</v>
      </c>
      <c r="B27" s="80">
        <v>44131</v>
      </c>
      <c r="C27" s="1" t="s">
        <v>91</v>
      </c>
      <c r="D27" s="1" t="s">
        <v>211</v>
      </c>
    </row>
    <row r="28" spans="1:4" x14ac:dyDescent="0.25">
      <c r="A28" s="1" t="s">
        <v>212</v>
      </c>
      <c r="B28" s="80">
        <v>44187</v>
      </c>
      <c r="C28" s="1" t="s">
        <v>91</v>
      </c>
      <c r="D28" s="1" t="s">
        <v>213</v>
      </c>
    </row>
    <row r="29" spans="1:4" x14ac:dyDescent="0.25">
      <c r="A29" s="1" t="s">
        <v>214</v>
      </c>
      <c r="B29" s="80">
        <v>44357</v>
      </c>
      <c r="C29" s="1" t="s">
        <v>215</v>
      </c>
      <c r="D29" s="1" t="s">
        <v>216</v>
      </c>
    </row>
    <row r="30" spans="1:4" x14ac:dyDescent="0.25">
      <c r="A30" s="1" t="s">
        <v>217</v>
      </c>
      <c r="B30" s="80">
        <v>44384</v>
      </c>
      <c r="C30" s="1" t="s">
        <v>215</v>
      </c>
      <c r="D30" s="1" t="s">
        <v>218</v>
      </c>
    </row>
    <row r="31" spans="1:4" x14ac:dyDescent="0.25">
      <c r="A31" s="1" t="s">
        <v>219</v>
      </c>
      <c r="B31" s="80">
        <v>44396</v>
      </c>
      <c r="C31" s="1" t="s">
        <v>215</v>
      </c>
      <c r="D31" s="1" t="s">
        <v>220</v>
      </c>
    </row>
    <row r="32" spans="1:4" x14ac:dyDescent="0.25">
      <c r="A32" s="1" t="s">
        <v>221</v>
      </c>
      <c r="B32" s="80">
        <v>44567</v>
      </c>
      <c r="C32" s="1" t="s">
        <v>215</v>
      </c>
      <c r="D32" s="1" t="s">
        <v>222</v>
      </c>
    </row>
    <row r="33" spans="1:4" x14ac:dyDescent="0.25">
      <c r="A33" t="s">
        <v>225</v>
      </c>
      <c r="B33" s="80">
        <v>44622</v>
      </c>
      <c r="C33" s="1" t="s">
        <v>215</v>
      </c>
      <c r="D33" s="1" t="s">
        <v>224</v>
      </c>
    </row>
    <row r="34" spans="1:4" x14ac:dyDescent="0.25">
      <c r="A34" s="1" t="s">
        <v>245</v>
      </c>
      <c r="B34" s="80">
        <v>44711</v>
      </c>
      <c r="C34" s="1" t="s">
        <v>215</v>
      </c>
      <c r="D34" s="1" t="s">
        <v>246</v>
      </c>
    </row>
  </sheetData>
  <sheetProtection password="E78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36</vt:i4>
      </vt:variant>
    </vt:vector>
  </HeadingPairs>
  <TitlesOfParts>
    <vt:vector size="40" baseType="lpstr">
      <vt:lpstr>Loonkosten PO</vt:lpstr>
      <vt:lpstr>percentages ed</vt:lpstr>
      <vt:lpstr>salaristabel PO</vt:lpstr>
      <vt:lpstr>Wijzigingen</vt:lpstr>
      <vt:lpstr>A_10</vt:lpstr>
      <vt:lpstr>A_11</vt:lpstr>
      <vt:lpstr>A_12</vt:lpstr>
      <vt:lpstr>A_13</vt:lpstr>
      <vt:lpstr>D_11</vt:lpstr>
      <vt:lpstr>D_12</vt:lpstr>
      <vt:lpstr>D_13</vt:lpstr>
      <vt:lpstr>D_14</vt:lpstr>
      <vt:lpstr>D_15</vt:lpstr>
      <vt:lpstr>IDnr1</vt:lpstr>
      <vt:lpstr>IDnr2</vt:lpstr>
      <vt:lpstr>IDnr3</vt:lpstr>
      <vt:lpstr>LB</vt:lpstr>
      <vt:lpstr>LC</vt:lpstr>
      <vt:lpstr>LD</vt:lpstr>
      <vt:lpstr>LE</vt:lpstr>
      <vt:lpstr>LIOa</vt:lpstr>
      <vt:lpstr>LIOb</vt:lpstr>
      <vt:lpstr>Participatiebaan</vt:lpstr>
      <vt:lpstr>schaal</vt:lpstr>
      <vt:lpstr>Schaal_1</vt:lpstr>
      <vt:lpstr>Schaal_10</vt:lpstr>
      <vt:lpstr>Schaal_11</vt:lpstr>
      <vt:lpstr>Schaal_12</vt:lpstr>
      <vt:lpstr>Schaal_13</vt:lpstr>
      <vt:lpstr>Schaal_14</vt:lpstr>
      <vt:lpstr>Schaal_15</vt:lpstr>
      <vt:lpstr>Schaal_16</vt:lpstr>
      <vt:lpstr>Schaal_2</vt:lpstr>
      <vt:lpstr>Schaal_3</vt:lpstr>
      <vt:lpstr>Schaal_4</vt:lpstr>
      <vt:lpstr>Schaal_5</vt:lpstr>
      <vt:lpstr>Schaal_6</vt:lpstr>
      <vt:lpstr>Schaal_7</vt:lpstr>
      <vt:lpstr>Schaal_8</vt:lpstr>
      <vt:lpstr>Schaal_9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Jacobs</dc:creator>
  <cp:lastModifiedBy>Peter de Vette</cp:lastModifiedBy>
  <cp:lastPrinted>2018-06-28T07:52:37Z</cp:lastPrinted>
  <dcterms:created xsi:type="dcterms:W3CDTF">2018-05-02T09:44:49Z</dcterms:created>
  <dcterms:modified xsi:type="dcterms:W3CDTF">2022-05-30T06:55:57Z</dcterms:modified>
</cp:coreProperties>
</file>